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67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24.xml" ContentType="application/vnd.openxmlformats-officedocument.drawing+xml"/>
  <Override PartName="/xl/charts/chart74.xml" ContentType="application/vnd.openxmlformats-officedocument.drawingml.chart+xml"/>
  <Override PartName="/xl/charts/chart16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52.xml" ContentType="application/vnd.openxmlformats-officedocument.drawingml.chart+xml"/>
  <Override PartName="/xl/charts/chart70.xml" ContentType="application/vnd.openxmlformats-officedocument.drawingml.chart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25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59.xml" ContentType="application/vnd.openxmlformats-officedocument.drawingml.chart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chart57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charts/chart77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14.xml" ContentType="application/vnd.openxmlformats-officedocument.drawing+xml"/>
  <Override PartName="/xl/charts/chart46.xml" ContentType="application/vnd.openxmlformats-officedocument.drawingml.chart+xml"/>
  <Override PartName="/xl/charts/chart55.xml" ContentType="application/vnd.openxmlformats-officedocument.drawingml.chart+xml"/>
  <Override PartName="/xl/drawings/drawing23.xml" ContentType="application/vnd.openxmlformats-officedocument.drawing+xml"/>
  <Override PartName="/xl/charts/chart66.xml" ContentType="application/vnd.openxmlformats-officedocument.drawingml.chart+xml"/>
  <Override PartName="/xl/charts/chart75.xml" ContentType="application/vnd.openxmlformats-officedocument.drawingml.chart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harts/chart35.xml" ContentType="application/vnd.openxmlformats-officedocument.drawingml.char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chart53.xml" ContentType="application/vnd.openxmlformats-officedocument.drawingml.chart+xml"/>
  <Override PartName="/xl/drawings/drawing21.xml" ContentType="application/vnd.openxmlformats-officedocument.drawing+xml"/>
  <Override PartName="/xl/charts/chart64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drawings/drawing10.xml" ContentType="application/vnd.openxmlformats-officedocument.drawing+xml"/>
  <Override PartName="/xl/charts/chart33.xml" ContentType="application/vnd.openxmlformats-officedocument.drawingml.chart+xml"/>
  <Override PartName="/xl/charts/chart42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71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charts/chart40.xml" ContentType="application/vnd.openxmlformats-officedocument.drawingml.chart+xml"/>
  <Override PartName="/xl/charts/chart60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69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drawings/drawing26.xml" ContentType="application/vnd.openxmlformats-officedocument.drawing+xml"/>
  <Override PartName="/xl/charts/chart76.xml" ContentType="application/vnd.openxmlformats-officedocument.drawingml.chart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charts/chart72.xml" ContentType="application/vnd.openxmlformats-officedocument.drawingml.char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worksheets/sheet27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worksheets/sheet16.xml" ContentType="application/vnd.openxmlformats-officedocument.spreadsheetml.workshee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worksheets/sheet2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0730" windowHeight="11760" tabRatio="896" activeTab="4"/>
  </bookViews>
  <sheets>
    <sheet name="navod" sheetId="13" r:id="rId1"/>
    <sheet name="verovice" sheetId="20" r:id="rId2"/>
    <sheet name="Novak" sheetId="14" r:id="rId3"/>
    <sheet name="spis" sheetId="38" r:id="rId4"/>
    <sheet name="PENB" sheetId="32" r:id="rId5"/>
    <sheet name="RR 21 kW" sheetId="33" r:id="rId6"/>
    <sheet name="vavra 20kW" sheetId="5" r:id="rId7"/>
    <sheet name="homola" sheetId="8" r:id="rId8"/>
    <sheet name="LG thermaV 9 kW" sheetId="28" r:id="rId9"/>
    <sheet name="SCOP-norma" sheetId="44" r:id="rId10"/>
    <sheet name="simral" sheetId="40" r:id="rId11"/>
    <sheet name="kratky" sheetId="10" r:id="rId12"/>
    <sheet name="K4-55m2" sheetId="36" r:id="rId13"/>
    <sheet name="vicen" sheetId="21" r:id="rId14"/>
    <sheet name="petr" sheetId="35" r:id="rId15"/>
    <sheet name="evohome" sheetId="15" r:id="rId16"/>
    <sheet name="mikul" sheetId="34" r:id="rId17"/>
    <sheet name="Radek" sheetId="37" r:id="rId18"/>
    <sheet name="14 panelaku" sheetId="31" r:id="rId19"/>
    <sheet name="sajf" sheetId="42" r:id="rId20"/>
    <sheet name="step" sheetId="9" r:id="rId21"/>
    <sheet name="kozik" sheetId="30" r:id="rId22"/>
    <sheet name="struza 11kW" sheetId="24" r:id="rId23"/>
    <sheet name="13,5 kW nezat" sheetId="22" r:id="rId24"/>
    <sheet name="Oswald  16,6 kW" sheetId="23" r:id="rId25"/>
    <sheet name="Adam N" sheetId="43" r:id="rId26"/>
    <sheet name="ku" sheetId="29" r:id="rId27"/>
    <sheet name="realistanr" sheetId="2" r:id="rId28"/>
    <sheet name="jakino" sheetId="4" r:id="rId29"/>
    <sheet name="ds" sheetId="25" r:id="rId30"/>
    <sheet name="ds vypočet" sheetId="26" r:id="rId31"/>
    <sheet name="ds výsledky" sheetId="27" r:id="rId32"/>
    <sheet name="do 3 kW" sheetId="39" r:id="rId33"/>
  </sheets>
  <definedNames>
    <definedName name="_GoBack" localSheetId="3">spis!$B$295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8" i="44"/>
  <c r="M8"/>
  <c r="N8"/>
  <c r="S8"/>
  <c r="T8"/>
  <c r="U8"/>
  <c r="L9"/>
  <c r="M9"/>
  <c r="N9"/>
  <c r="Q9"/>
  <c r="R9"/>
  <c r="S9"/>
  <c r="T9"/>
  <c r="U9"/>
  <c r="L10"/>
  <c r="M10"/>
  <c r="N10"/>
  <c r="Q10"/>
  <c r="R10"/>
  <c r="S10"/>
  <c r="T10"/>
  <c r="U10"/>
  <c r="L11"/>
  <c r="M11"/>
  <c r="N11"/>
  <c r="Q11"/>
  <c r="R11"/>
  <c r="S11"/>
  <c r="T11"/>
  <c r="U11"/>
  <c r="L12"/>
  <c r="M12"/>
  <c r="N12"/>
  <c r="Q12"/>
  <c r="R12"/>
  <c r="S12"/>
  <c r="T12"/>
  <c r="U12"/>
  <c r="L13"/>
  <c r="M13"/>
  <c r="N13"/>
  <c r="Q13"/>
  <c r="Q14" s="1"/>
  <c r="Q15" s="1"/>
  <c r="Q16" s="1"/>
  <c r="Q17" s="1"/>
  <c r="Q18" s="1"/>
  <c r="Q19" s="1"/>
  <c r="Q20" s="1"/>
  <c r="Q21" s="1"/>
  <c r="Q22" s="1"/>
  <c r="Q23" s="1"/>
  <c r="Q24" s="1"/>
  <c r="Q25" s="1"/>
  <c r="Q26" s="1"/>
  <c r="Q27" s="1"/>
  <c r="Q28" s="1"/>
  <c r="Q29" s="1"/>
  <c r="Q30" s="1"/>
  <c r="Q31" s="1"/>
  <c r="Q32" s="1"/>
  <c r="Q33" s="1"/>
  <c r="R13"/>
  <c r="S13"/>
  <c r="T13"/>
  <c r="T14" s="1"/>
  <c r="T15" s="1"/>
  <c r="T16" s="1"/>
  <c r="T17" s="1"/>
  <c r="T18" s="1"/>
  <c r="T19" s="1"/>
  <c r="T20" s="1"/>
  <c r="T21" s="1"/>
  <c r="T22" s="1"/>
  <c r="T23" s="1"/>
  <c r="T24" s="1"/>
  <c r="T25" s="1"/>
  <c r="T26" s="1"/>
  <c r="T27" s="1"/>
  <c r="T28" s="1"/>
  <c r="T29" s="1"/>
  <c r="T30" s="1"/>
  <c r="T31" s="1"/>
  <c r="T32" s="1"/>
  <c r="T33" s="1"/>
  <c r="T36" s="1"/>
  <c r="U13"/>
  <c r="L14"/>
  <c r="N14"/>
  <c r="R14"/>
  <c r="R15" s="1"/>
  <c r="R16" s="1"/>
  <c r="R17" s="1"/>
  <c r="R18" s="1"/>
  <c r="R19" s="1"/>
  <c r="R20" s="1"/>
  <c r="R21" s="1"/>
  <c r="R22" s="1"/>
  <c r="R23" s="1"/>
  <c r="R24" s="1"/>
  <c r="R25" s="1"/>
  <c r="R26" s="1"/>
  <c r="R27" s="1"/>
  <c r="R28" s="1"/>
  <c r="R29" s="1"/>
  <c r="R30" s="1"/>
  <c r="R31" s="1"/>
  <c r="R32" s="1"/>
  <c r="R33" s="1"/>
  <c r="S14"/>
  <c r="U14"/>
  <c r="L15"/>
  <c r="N15"/>
  <c r="S15"/>
  <c r="U15"/>
  <c r="L16"/>
  <c r="N16"/>
  <c r="S16"/>
  <c r="U16"/>
  <c r="L17"/>
  <c r="N17"/>
  <c r="S17"/>
  <c r="U17"/>
  <c r="L18"/>
  <c r="N18"/>
  <c r="S18"/>
  <c r="U18"/>
  <c r="L19"/>
  <c r="N19"/>
  <c r="S19"/>
  <c r="U19"/>
  <c r="L20"/>
  <c r="N20"/>
  <c r="S20"/>
  <c r="U20"/>
  <c r="L21"/>
  <c r="N21"/>
  <c r="S21"/>
  <c r="U21"/>
  <c r="L22"/>
  <c r="N22"/>
  <c r="S22"/>
  <c r="U22"/>
  <c r="L23"/>
  <c r="N23"/>
  <c r="S23"/>
  <c r="U23"/>
  <c r="L24"/>
  <c r="N24"/>
  <c r="S24"/>
  <c r="U24"/>
  <c r="L25"/>
  <c r="N25"/>
  <c r="S25"/>
  <c r="U25"/>
  <c r="L26"/>
  <c r="N26"/>
  <c r="S26"/>
  <c r="U26"/>
  <c r="L27"/>
  <c r="N27"/>
  <c r="S27"/>
  <c r="U27"/>
  <c r="L28"/>
  <c r="N28"/>
  <c r="S28"/>
  <c r="U28"/>
  <c r="L29"/>
  <c r="N29"/>
  <c r="S29"/>
  <c r="U29"/>
  <c r="L30"/>
  <c r="N30"/>
  <c r="S30"/>
  <c r="U30"/>
  <c r="L31"/>
  <c r="N31"/>
  <c r="S31"/>
  <c r="U31"/>
  <c r="L32"/>
  <c r="N32"/>
  <c r="S32"/>
  <c r="U32"/>
  <c r="L33"/>
  <c r="N33"/>
  <c r="S33"/>
  <c r="U33"/>
  <c r="J34"/>
  <c r="K34"/>
  <c r="L35"/>
  <c r="T35"/>
  <c r="H36"/>
  <c r="H37"/>
  <c r="I37"/>
  <c r="J37"/>
  <c r="K38"/>
  <c r="K39"/>
  <c r="C41"/>
  <c r="D41" s="1"/>
  <c r="G41"/>
  <c r="C42"/>
  <c r="D42" s="1"/>
  <c r="G42"/>
  <c r="C43"/>
  <c r="D43"/>
  <c r="G43"/>
  <c r="C44"/>
  <c r="D44"/>
  <c r="G44"/>
  <c r="C45"/>
  <c r="D45" s="1"/>
  <c r="G45"/>
  <c r="C46"/>
  <c r="D46" s="1"/>
  <c r="G46"/>
  <c r="C47"/>
  <c r="G47"/>
  <c r="C48"/>
  <c r="G48"/>
  <c r="C49"/>
  <c r="D49"/>
  <c r="G49"/>
  <c r="C50"/>
  <c r="D50" s="1"/>
  <c r="G50"/>
  <c r="C51"/>
  <c r="D51" s="1"/>
  <c r="G51"/>
  <c r="C52"/>
  <c r="G52"/>
  <c r="C53"/>
  <c r="D53"/>
  <c r="G53"/>
  <c r="C54"/>
  <c r="D54" s="1"/>
  <c r="G54"/>
  <c r="C55"/>
  <c r="D55" s="1"/>
  <c r="G55"/>
  <c r="C56"/>
  <c r="D56" s="1"/>
  <c r="D57" s="1"/>
  <c r="G56"/>
  <c r="C57"/>
  <c r="G57"/>
  <c r="C58"/>
  <c r="D58" s="1"/>
  <c r="G58"/>
  <c r="C59"/>
  <c r="D59" s="1"/>
  <c r="G59"/>
  <c r="C60"/>
  <c r="G60"/>
  <c r="C61"/>
  <c r="D61"/>
  <c r="G61"/>
  <c r="C62"/>
  <c r="D62" s="1"/>
  <c r="G62"/>
  <c r="C63"/>
  <c r="G63"/>
  <c r="C64"/>
  <c r="G64"/>
  <c r="C65"/>
  <c r="G65"/>
  <c r="C66"/>
  <c r="G66"/>
  <c r="C67"/>
  <c r="G67"/>
  <c r="C68"/>
  <c r="G68"/>
  <c r="C69"/>
  <c r="C70"/>
  <c r="D70" s="1"/>
  <c r="D71" s="1"/>
  <c r="C71"/>
  <c r="C72"/>
  <c r="D72" s="1"/>
  <c r="D73" s="1"/>
  <c r="C73"/>
  <c r="C74"/>
  <c r="C75"/>
  <c r="C76"/>
  <c r="C77"/>
  <c r="C78"/>
  <c r="C79"/>
  <c r="C80"/>
  <c r="C81"/>
  <c r="C82"/>
  <c r="C83"/>
  <c r="C84"/>
  <c r="C85"/>
  <c r="C86"/>
  <c r="C87"/>
  <c r="C88"/>
  <c r="D88" s="1"/>
  <c r="D89" s="1"/>
  <c r="C89"/>
  <c r="C90"/>
  <c r="C91"/>
  <c r="C92"/>
  <c r="C93"/>
  <c r="C94"/>
  <c r="C95"/>
  <c r="C96"/>
  <c r="C97"/>
  <c r="C98"/>
  <c r="C99"/>
  <c r="C100"/>
  <c r="C101"/>
  <c r="C102"/>
  <c r="C103"/>
  <c r="C104"/>
  <c r="C105"/>
  <c r="D105"/>
  <c r="C106"/>
  <c r="D106" s="1"/>
  <c r="D107" s="1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D126" s="1"/>
  <c r="D127" s="1"/>
  <c r="C127"/>
  <c r="C128"/>
  <c r="C129"/>
  <c r="C130"/>
  <c r="C131"/>
  <c r="C132"/>
  <c r="C133"/>
  <c r="C134"/>
  <c r="C135"/>
  <c r="C136"/>
  <c r="C137"/>
  <c r="C138"/>
  <c r="C139"/>
  <c r="C140"/>
  <c r="C141"/>
  <c r="C142"/>
  <c r="D142" s="1"/>
  <c r="D143" s="1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D161"/>
  <c r="C162"/>
  <c r="D162" s="1"/>
  <c r="D163" s="1"/>
  <c r="C163"/>
  <c r="C164"/>
  <c r="C165"/>
  <c r="C166"/>
  <c r="C167"/>
  <c r="C168"/>
  <c r="C169"/>
  <c r="C170"/>
  <c r="C171"/>
  <c r="C172"/>
  <c r="C173"/>
  <c r="C174"/>
  <c r="C175"/>
  <c r="C176"/>
  <c r="D176" s="1"/>
  <c r="D177" s="1"/>
  <c r="C177"/>
  <c r="C178"/>
  <c r="D178" s="1"/>
  <c r="D179" s="1"/>
  <c r="C179"/>
  <c r="C180"/>
  <c r="C181"/>
  <c r="C182"/>
  <c r="D182" s="1"/>
  <c r="D183" s="1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D202" s="1"/>
  <c r="D203" s="1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D219"/>
  <c r="C220"/>
  <c r="D220" s="1"/>
  <c r="D221" s="1"/>
  <c r="C221"/>
  <c r="C222"/>
  <c r="C223"/>
  <c r="C224"/>
  <c r="C225"/>
  <c r="C226"/>
  <c r="C227"/>
  <c r="C228"/>
  <c r="D228" s="1"/>
  <c r="D229" s="1"/>
  <c r="C229"/>
  <c r="C230"/>
  <c r="C231"/>
  <c r="C232"/>
  <c r="C233"/>
  <c r="C234"/>
  <c r="C235"/>
  <c r="C236"/>
  <c r="C237"/>
  <c r="C238"/>
  <c r="C239"/>
  <c r="C240"/>
  <c r="D240" s="1"/>
  <c r="D241" s="1"/>
  <c r="C241"/>
  <c r="C242"/>
  <c r="C243"/>
  <c r="C244"/>
  <c r="C245"/>
  <c r="C246"/>
  <c r="C247"/>
  <c r="C248"/>
  <c r="C249"/>
  <c r="C250"/>
  <c r="C251"/>
  <c r="C252"/>
  <c r="D252" s="1"/>
  <c r="D253" s="1"/>
  <c r="C253"/>
  <c r="C254"/>
  <c r="C255"/>
  <c r="C256"/>
  <c r="C257"/>
  <c r="C258"/>
  <c r="C259"/>
  <c r="C260"/>
  <c r="C261"/>
  <c r="C262"/>
  <c r="C263"/>
  <c r="C264"/>
  <c r="C265"/>
  <c r="C266"/>
  <c r="C267"/>
  <c r="D267"/>
  <c r="C268"/>
  <c r="D268" s="1"/>
  <c r="D269" s="1"/>
  <c r="C269"/>
  <c r="C270"/>
  <c r="C271"/>
  <c r="C272"/>
  <c r="C273"/>
  <c r="C274"/>
  <c r="C275"/>
  <c r="C276"/>
  <c r="C277"/>
  <c r="C278"/>
  <c r="C279"/>
  <c r="C280"/>
  <c r="C281"/>
  <c r="C282"/>
  <c r="D282" s="1"/>
  <c r="D283" s="1"/>
  <c r="C283"/>
  <c r="C284"/>
  <c r="D284" s="1"/>
  <c r="D285" s="1"/>
  <c r="C285"/>
  <c r="C286"/>
  <c r="C287"/>
  <c r="C288"/>
  <c r="D288" s="1"/>
  <c r="D289" s="1"/>
  <c r="C289"/>
  <c r="C290"/>
  <c r="C291"/>
  <c r="C292"/>
  <c r="C293"/>
  <c r="C294"/>
  <c r="C295"/>
  <c r="C296"/>
  <c r="C297"/>
  <c r="C298"/>
  <c r="C299"/>
  <c r="D299"/>
  <c r="C300"/>
  <c r="D300" s="1"/>
  <c r="D301" s="1"/>
  <c r="C301"/>
  <c r="C302"/>
  <c r="D302" s="1"/>
  <c r="D303" s="1"/>
  <c r="C303"/>
  <c r="C304"/>
  <c r="C305"/>
  <c r="C306"/>
  <c r="C307"/>
  <c r="C308"/>
  <c r="C309"/>
  <c r="C310"/>
  <c r="D310" s="1"/>
  <c r="D311" s="1"/>
  <c r="C311"/>
  <c r="C312"/>
  <c r="C313"/>
  <c r="C314"/>
  <c r="C315"/>
  <c r="C316"/>
  <c r="C317"/>
  <c r="C318"/>
  <c r="D318" s="1"/>
  <c r="D319" s="1"/>
  <c r="C319"/>
  <c r="C320"/>
  <c r="C321"/>
  <c r="C322"/>
  <c r="C323"/>
  <c r="C324"/>
  <c r="C325"/>
  <c r="C326"/>
  <c r="C327"/>
  <c r="C328"/>
  <c r="C329"/>
  <c r="C330"/>
  <c r="C331"/>
  <c r="C332"/>
  <c r="C333"/>
  <c r="C334"/>
  <c r="D334" s="1"/>
  <c r="D335" s="1"/>
  <c r="C335"/>
  <c r="C336"/>
  <c r="C337"/>
  <c r="C338"/>
  <c r="C339"/>
  <c r="C340"/>
  <c r="C341"/>
  <c r="C342"/>
  <c r="C343"/>
  <c r="C344"/>
  <c r="C345"/>
  <c r="D345"/>
  <c r="C346"/>
  <c r="D346" s="1"/>
  <c r="D347" s="1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D363"/>
  <c r="C364"/>
  <c r="D364" s="1"/>
  <c r="D365" s="1"/>
  <c r="C365"/>
  <c r="C366"/>
  <c r="C367"/>
  <c r="C368"/>
  <c r="C369"/>
  <c r="C370"/>
  <c r="C371"/>
  <c r="C372"/>
  <c r="C373"/>
  <c r="C374"/>
  <c r="C375"/>
  <c r="D375"/>
  <c r="C376"/>
  <c r="D376" s="1"/>
  <c r="D377" s="1"/>
  <c r="C377"/>
  <c r="C378"/>
  <c r="C379"/>
  <c r="C380"/>
  <c r="C381"/>
  <c r="C382"/>
  <c r="C383"/>
  <c r="C384"/>
  <c r="C385"/>
  <c r="C386"/>
  <c r="C387"/>
  <c r="C388"/>
  <c r="D388" s="1"/>
  <c r="D389" s="1"/>
  <c r="C389"/>
  <c r="C390"/>
  <c r="C391"/>
  <c r="C392"/>
  <c r="C393"/>
  <c r="C394"/>
  <c r="D394" s="1"/>
  <c r="D395" s="1"/>
  <c r="C395"/>
  <c r="C396"/>
  <c r="D396" s="1"/>
  <c r="D397" s="1"/>
  <c r="C397"/>
  <c r="C398"/>
  <c r="C399"/>
  <c r="D399"/>
  <c r="C400"/>
  <c r="D400" s="1"/>
  <c r="D401" s="1"/>
  <c r="C401"/>
  <c r="C402"/>
  <c r="D402" s="1"/>
  <c r="D403" s="1"/>
  <c r="C403"/>
  <c r="C404"/>
  <c r="D404" s="1"/>
  <c r="D405" s="1"/>
  <c r="C405"/>
  <c r="E5" i="43"/>
  <c r="D6"/>
  <c r="E6"/>
  <c r="G6" s="1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37" s="1"/>
  <c r="G38" s="1"/>
  <c r="G39" s="1"/>
  <c r="G40" s="1"/>
  <c r="G41" s="1"/>
  <c r="D7"/>
  <c r="E7"/>
  <c r="D8"/>
  <c r="E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D22"/>
  <c r="E22"/>
  <c r="D23"/>
  <c r="E23"/>
  <c r="D24"/>
  <c r="E24"/>
  <c r="D25"/>
  <c r="E25"/>
  <c r="D26"/>
  <c r="E26"/>
  <c r="D27"/>
  <c r="E27"/>
  <c r="D28"/>
  <c r="E28"/>
  <c r="D29"/>
  <c r="E29"/>
  <c r="D30"/>
  <c r="E30"/>
  <c r="F30"/>
  <c r="D31"/>
  <c r="E31"/>
  <c r="F31"/>
  <c r="D32"/>
  <c r="E32"/>
  <c r="F32"/>
  <c r="D33"/>
  <c r="E33"/>
  <c r="F33"/>
  <c r="D34"/>
  <c r="E34"/>
  <c r="F34"/>
  <c r="E35"/>
  <c r="E36"/>
  <c r="E37"/>
  <c r="E38"/>
  <c r="E39"/>
  <c r="E40"/>
  <c r="E41"/>
  <c r="D42"/>
  <c r="E42"/>
  <c r="F42"/>
  <c r="D43"/>
  <c r="E43"/>
  <c r="F43"/>
  <c r="D44"/>
  <c r="E44"/>
  <c r="F44"/>
  <c r="D45"/>
  <c r="E45"/>
  <c r="F45"/>
  <c r="D46"/>
  <c r="E46"/>
  <c r="F46"/>
  <c r="D47"/>
  <c r="E47"/>
  <c r="D48"/>
  <c r="E48"/>
  <c r="D49"/>
  <c r="E49"/>
  <c r="D50"/>
  <c r="E50"/>
  <c r="D51"/>
  <c r="E51"/>
  <c r="D52"/>
  <c r="E52"/>
  <c r="D53"/>
  <c r="E53"/>
  <c r="D54"/>
  <c r="E54"/>
  <c r="D55"/>
  <c r="E55"/>
  <c r="D56"/>
  <c r="E56"/>
  <c r="D57"/>
  <c r="E57"/>
  <c r="D58"/>
  <c r="E58"/>
  <c r="D59"/>
  <c r="E59"/>
  <c r="D60"/>
  <c r="E60"/>
  <c r="D61"/>
  <c r="E61"/>
  <c r="D62"/>
  <c r="E62"/>
  <c r="D63"/>
  <c r="E63"/>
  <c r="D64"/>
  <c r="E64"/>
  <c r="D65"/>
  <c r="E65"/>
  <c r="D66"/>
  <c r="E66"/>
  <c r="D67"/>
  <c r="E67"/>
  <c r="D68"/>
  <c r="E68"/>
  <c r="D69"/>
  <c r="E69"/>
  <c r="D70"/>
  <c r="E70"/>
  <c r="D71"/>
  <c r="E71"/>
  <c r="D72"/>
  <c r="E72"/>
  <c r="U69" i="8"/>
  <c r="U70"/>
  <c r="U72"/>
  <c r="V69"/>
  <c r="V70"/>
  <c r="V72"/>
  <c r="J2678" i="26"/>
  <c r="J2677"/>
  <c r="J2676"/>
  <c r="J2675"/>
  <c r="J2674"/>
  <c r="J2673"/>
  <c r="J2672"/>
  <c r="J2671"/>
  <c r="J2670"/>
  <c r="J2669"/>
  <c r="J2668"/>
  <c r="J2667"/>
  <c r="J2666"/>
  <c r="J2665"/>
  <c r="J2664"/>
  <c r="J2663"/>
  <c r="J2662"/>
  <c r="J2661"/>
  <c r="J2660"/>
  <c r="J2659"/>
  <c r="J2658"/>
  <c r="J2657"/>
  <c r="J2656"/>
  <c r="J2655"/>
  <c r="J2654"/>
  <c r="J2653"/>
  <c r="J2652"/>
  <c r="J2651"/>
  <c r="J2650"/>
  <c r="J2649"/>
  <c r="J2648"/>
  <c r="J2647"/>
  <c r="J2646"/>
  <c r="J2645"/>
  <c r="J2644"/>
  <c r="J2643"/>
  <c r="J2642"/>
  <c r="J2641"/>
  <c r="J2640"/>
  <c r="J2639"/>
  <c r="J2638"/>
  <c r="J2637"/>
  <c r="J2636"/>
  <c r="J2635"/>
  <c r="K2635" s="1"/>
  <c r="K2636" s="1"/>
  <c r="K2637" s="1"/>
  <c r="K2638" s="1"/>
  <c r="K2639" s="1"/>
  <c r="K2640" s="1"/>
  <c r="K2641" s="1"/>
  <c r="K2642" s="1"/>
  <c r="K2643" s="1"/>
  <c r="K2644" s="1"/>
  <c r="K2645" s="1"/>
  <c r="K2646" s="1"/>
  <c r="K2647" s="1"/>
  <c r="K2648" s="1"/>
  <c r="K2649" s="1"/>
  <c r="K2650" s="1"/>
  <c r="K2651" s="1"/>
  <c r="K2652" s="1"/>
  <c r="K2653" s="1"/>
  <c r="K2654" s="1"/>
  <c r="K2655" s="1"/>
  <c r="K2656" s="1"/>
  <c r="K2657" s="1"/>
  <c r="K2658" s="1"/>
  <c r="K2659" s="1"/>
  <c r="K2660" s="1"/>
  <c r="K2661" s="1"/>
  <c r="K2662" s="1"/>
  <c r="K2663" s="1"/>
  <c r="K2664" s="1"/>
  <c r="K2665" s="1"/>
  <c r="K2666" s="1"/>
  <c r="K2667" s="1"/>
  <c r="K2668" s="1"/>
  <c r="K2669" s="1"/>
  <c r="K2670" s="1"/>
  <c r="K2671" s="1"/>
  <c r="K2672" s="1"/>
  <c r="K2673" s="1"/>
  <c r="K2674" s="1"/>
  <c r="K2675" s="1"/>
  <c r="K2676" s="1"/>
  <c r="K2677" s="1"/>
  <c r="K2678" s="1"/>
  <c r="K7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K52" s="1"/>
  <c r="K53" s="1"/>
  <c r="K54" s="1"/>
  <c r="K55" s="1"/>
  <c r="K56" s="1"/>
  <c r="K57" s="1"/>
  <c r="K58" s="1"/>
  <c r="K59" s="1"/>
  <c r="K60" s="1"/>
  <c r="K61" s="1"/>
  <c r="K62" s="1"/>
  <c r="K63" s="1"/>
  <c r="K64" s="1"/>
  <c r="K65" s="1"/>
  <c r="K66" s="1"/>
  <c r="K67" s="1"/>
  <c r="K68" s="1"/>
  <c r="K69" s="1"/>
  <c r="K70" s="1"/>
  <c r="K71" s="1"/>
  <c r="K72" s="1"/>
  <c r="K73" s="1"/>
  <c r="K74" s="1"/>
  <c r="K75" s="1"/>
  <c r="K76" s="1"/>
  <c r="K77" s="1"/>
  <c r="K78" s="1"/>
  <c r="K79" s="1"/>
  <c r="K80" s="1"/>
  <c r="K81" s="1"/>
  <c r="K82" s="1"/>
  <c r="K83" s="1"/>
  <c r="K84" s="1"/>
  <c r="K85" s="1"/>
  <c r="K86" s="1"/>
  <c r="K87" s="1"/>
  <c r="K88" s="1"/>
  <c r="K89" s="1"/>
  <c r="K90" s="1"/>
  <c r="K91" s="1"/>
  <c r="K92" s="1"/>
  <c r="K93" s="1"/>
  <c r="K94" s="1"/>
  <c r="K95" s="1"/>
  <c r="K96" s="1"/>
  <c r="K97" s="1"/>
  <c r="K98" s="1"/>
  <c r="K99" s="1"/>
  <c r="K100" s="1"/>
  <c r="K101" s="1"/>
  <c r="K102" s="1"/>
  <c r="K103" s="1"/>
  <c r="K104" s="1"/>
  <c r="K105" s="1"/>
  <c r="K106" s="1"/>
  <c r="K107" s="1"/>
  <c r="K108" s="1"/>
  <c r="K109" s="1"/>
  <c r="K110" s="1"/>
  <c r="K111" s="1"/>
  <c r="K112" s="1"/>
  <c r="K113" s="1"/>
  <c r="K114" s="1"/>
  <c r="K115" s="1"/>
  <c r="K116" s="1"/>
  <c r="K117" s="1"/>
  <c r="K118" s="1"/>
  <c r="K119" s="1"/>
  <c r="K120" s="1"/>
  <c r="K121" s="1"/>
  <c r="K122" s="1"/>
  <c r="K123" s="1"/>
  <c r="K124" s="1"/>
  <c r="K125" s="1"/>
  <c r="K126" s="1"/>
  <c r="K127" s="1"/>
  <c r="K128" s="1"/>
  <c r="K129" s="1"/>
  <c r="K130" s="1"/>
  <c r="K131" s="1"/>
  <c r="K132" s="1"/>
  <c r="K133" s="1"/>
  <c r="K134" s="1"/>
  <c r="K135" s="1"/>
  <c r="K136" s="1"/>
  <c r="K137" s="1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K159" s="1"/>
  <c r="K160" s="1"/>
  <c r="K161" s="1"/>
  <c r="K162" s="1"/>
  <c r="K163" s="1"/>
  <c r="K164" s="1"/>
  <c r="K165" s="1"/>
  <c r="K166" s="1"/>
  <c r="K167" s="1"/>
  <c r="K168" s="1"/>
  <c r="K169" s="1"/>
  <c r="K170" s="1"/>
  <c r="K171" s="1"/>
  <c r="K172" s="1"/>
  <c r="K173" s="1"/>
  <c r="K174" s="1"/>
  <c r="K175" s="1"/>
  <c r="K176" s="1"/>
  <c r="K177" s="1"/>
  <c r="K178" s="1"/>
  <c r="K179" s="1"/>
  <c r="K180" s="1"/>
  <c r="K181" s="1"/>
  <c r="K182" s="1"/>
  <c r="K183" s="1"/>
  <c r="K184" s="1"/>
  <c r="K185" s="1"/>
  <c r="K186" s="1"/>
  <c r="K187" s="1"/>
  <c r="K188" s="1"/>
  <c r="K189" s="1"/>
  <c r="K190" s="1"/>
  <c r="K191" s="1"/>
  <c r="K192" s="1"/>
  <c r="K193" s="1"/>
  <c r="K194" s="1"/>
  <c r="K195" s="1"/>
  <c r="K196" s="1"/>
  <c r="K197" s="1"/>
  <c r="K198" s="1"/>
  <c r="K199" s="1"/>
  <c r="K200" s="1"/>
  <c r="K201" s="1"/>
  <c r="K202" s="1"/>
  <c r="K203" s="1"/>
  <c r="K204" s="1"/>
  <c r="K205" s="1"/>
  <c r="K206" s="1"/>
  <c r="K207" s="1"/>
  <c r="K208" s="1"/>
  <c r="K209" s="1"/>
  <c r="K210" s="1"/>
  <c r="K211" s="1"/>
  <c r="K212" s="1"/>
  <c r="K213" s="1"/>
  <c r="K214" s="1"/>
  <c r="K215" s="1"/>
  <c r="K216" s="1"/>
  <c r="K217" s="1"/>
  <c r="K218" s="1"/>
  <c r="K219" s="1"/>
  <c r="K220" s="1"/>
  <c r="K221" s="1"/>
  <c r="K222" s="1"/>
  <c r="K223" s="1"/>
  <c r="K224" s="1"/>
  <c r="K225" s="1"/>
  <c r="K226" s="1"/>
  <c r="K227" s="1"/>
  <c r="K228" s="1"/>
  <c r="K229" s="1"/>
  <c r="K230" s="1"/>
  <c r="K231" s="1"/>
  <c r="K232" s="1"/>
  <c r="K233" s="1"/>
  <c r="K234" s="1"/>
  <c r="K235" s="1"/>
  <c r="K236" s="1"/>
  <c r="K237" s="1"/>
  <c r="K238" s="1"/>
  <c r="K239" s="1"/>
  <c r="K240" s="1"/>
  <c r="K241" s="1"/>
  <c r="K242" s="1"/>
  <c r="K243" s="1"/>
  <c r="K244" s="1"/>
  <c r="K245" s="1"/>
  <c r="K246" s="1"/>
  <c r="K247" s="1"/>
  <c r="K248" s="1"/>
  <c r="K249" s="1"/>
  <c r="K250" s="1"/>
  <c r="K251" s="1"/>
  <c r="K252" s="1"/>
  <c r="K253" s="1"/>
  <c r="K254" s="1"/>
  <c r="K255" s="1"/>
  <c r="K256" s="1"/>
  <c r="K257" s="1"/>
  <c r="K258" s="1"/>
  <c r="K259" s="1"/>
  <c r="K260" s="1"/>
  <c r="K261" s="1"/>
  <c r="K262" s="1"/>
  <c r="K263" s="1"/>
  <c r="K264" s="1"/>
  <c r="K265" s="1"/>
  <c r="K266" s="1"/>
  <c r="K267" s="1"/>
  <c r="K268" s="1"/>
  <c r="K269" s="1"/>
  <c r="K270" s="1"/>
  <c r="K271" s="1"/>
  <c r="K272" s="1"/>
  <c r="K273" s="1"/>
  <c r="K274" s="1"/>
  <c r="K275" s="1"/>
  <c r="K276" s="1"/>
  <c r="K277" s="1"/>
  <c r="K278" s="1"/>
  <c r="K279" s="1"/>
  <c r="K280" s="1"/>
  <c r="K281" s="1"/>
  <c r="K282" s="1"/>
  <c r="K283" s="1"/>
  <c r="K284" s="1"/>
  <c r="K285" s="1"/>
  <c r="K286" s="1"/>
  <c r="K287" s="1"/>
  <c r="K288" s="1"/>
  <c r="K289" s="1"/>
  <c r="K290" s="1"/>
  <c r="K291" s="1"/>
  <c r="K292" s="1"/>
  <c r="K293" s="1"/>
  <c r="K294" s="1"/>
  <c r="K295" s="1"/>
  <c r="K296" s="1"/>
  <c r="K297" s="1"/>
  <c r="K298" s="1"/>
  <c r="K299" s="1"/>
  <c r="K300" s="1"/>
  <c r="K301" s="1"/>
  <c r="K302" s="1"/>
  <c r="K303" s="1"/>
  <c r="K304" s="1"/>
  <c r="K305" s="1"/>
  <c r="K306" s="1"/>
  <c r="K307" s="1"/>
  <c r="K308" s="1"/>
  <c r="K309" s="1"/>
  <c r="K310" s="1"/>
  <c r="K311" s="1"/>
  <c r="K312" s="1"/>
  <c r="K313" s="1"/>
  <c r="K314" s="1"/>
  <c r="K315" s="1"/>
  <c r="K316" s="1"/>
  <c r="K317" s="1"/>
  <c r="K318" s="1"/>
  <c r="K319" s="1"/>
  <c r="K320" s="1"/>
  <c r="K321" s="1"/>
  <c r="K322" s="1"/>
  <c r="K323" s="1"/>
  <c r="K324" s="1"/>
  <c r="K325" s="1"/>
  <c r="K326" s="1"/>
  <c r="K327" s="1"/>
  <c r="K328" s="1"/>
  <c r="K329" s="1"/>
  <c r="K330" s="1"/>
  <c r="K331" s="1"/>
  <c r="K332" s="1"/>
  <c r="K333" s="1"/>
  <c r="K334" s="1"/>
  <c r="K335" s="1"/>
  <c r="K336" s="1"/>
  <c r="K337" s="1"/>
  <c r="K338" s="1"/>
  <c r="K339" s="1"/>
  <c r="K340" s="1"/>
  <c r="K341" s="1"/>
  <c r="K342" s="1"/>
  <c r="K343" s="1"/>
  <c r="K344" s="1"/>
  <c r="K345" s="1"/>
  <c r="K346" s="1"/>
  <c r="K347" s="1"/>
  <c r="K348" s="1"/>
  <c r="K349" s="1"/>
  <c r="K350" s="1"/>
  <c r="K351" s="1"/>
  <c r="K352" s="1"/>
  <c r="K353" s="1"/>
  <c r="K354" s="1"/>
  <c r="K355" s="1"/>
  <c r="K356" s="1"/>
  <c r="K357" s="1"/>
  <c r="K358" s="1"/>
  <c r="K359" s="1"/>
  <c r="K360" s="1"/>
  <c r="K361" s="1"/>
  <c r="K362" s="1"/>
  <c r="K363" s="1"/>
  <c r="K364" s="1"/>
  <c r="K365" s="1"/>
  <c r="K366" s="1"/>
  <c r="K367" s="1"/>
  <c r="K368" s="1"/>
  <c r="K369" s="1"/>
  <c r="K370" s="1"/>
  <c r="K371" s="1"/>
  <c r="K372" s="1"/>
  <c r="K373" s="1"/>
  <c r="K374" s="1"/>
  <c r="K375" s="1"/>
  <c r="K376" s="1"/>
  <c r="K377" s="1"/>
  <c r="K378" s="1"/>
  <c r="K379" s="1"/>
  <c r="K380" s="1"/>
  <c r="K381" s="1"/>
  <c r="K382" s="1"/>
  <c r="K383" s="1"/>
  <c r="K384" s="1"/>
  <c r="K385" s="1"/>
  <c r="K386" s="1"/>
  <c r="K387" s="1"/>
  <c r="K388" s="1"/>
  <c r="K389" s="1"/>
  <c r="K390" s="1"/>
  <c r="K391" s="1"/>
  <c r="K392" s="1"/>
  <c r="K393" s="1"/>
  <c r="K394" s="1"/>
  <c r="K395" s="1"/>
  <c r="K396" s="1"/>
  <c r="K397" s="1"/>
  <c r="K398" s="1"/>
  <c r="K399" s="1"/>
  <c r="K400" s="1"/>
  <c r="K401" s="1"/>
  <c r="K402" s="1"/>
  <c r="K403" s="1"/>
  <c r="K404" s="1"/>
  <c r="K405" s="1"/>
  <c r="K406" s="1"/>
  <c r="K407" s="1"/>
  <c r="K408" s="1"/>
  <c r="K409" s="1"/>
  <c r="K410" s="1"/>
  <c r="K411" s="1"/>
  <c r="K412" s="1"/>
  <c r="K413" s="1"/>
  <c r="K414" s="1"/>
  <c r="K415" s="1"/>
  <c r="K416" s="1"/>
  <c r="K417" s="1"/>
  <c r="K418" s="1"/>
  <c r="K419" s="1"/>
  <c r="K420" s="1"/>
  <c r="K421" s="1"/>
  <c r="K422" s="1"/>
  <c r="K423" s="1"/>
  <c r="K424" s="1"/>
  <c r="K425" s="1"/>
  <c r="K426" s="1"/>
  <c r="K427" s="1"/>
  <c r="K428" s="1"/>
  <c r="K429" s="1"/>
  <c r="K430" s="1"/>
  <c r="K431" s="1"/>
  <c r="K432" s="1"/>
  <c r="K433" s="1"/>
  <c r="K434" s="1"/>
  <c r="K435" s="1"/>
  <c r="K436" s="1"/>
  <c r="K437" s="1"/>
  <c r="K438" s="1"/>
  <c r="K439" s="1"/>
  <c r="K440" s="1"/>
  <c r="K441" s="1"/>
  <c r="K442" s="1"/>
  <c r="K443" s="1"/>
  <c r="K444" s="1"/>
  <c r="K445" s="1"/>
  <c r="K446" s="1"/>
  <c r="K447" s="1"/>
  <c r="K448" s="1"/>
  <c r="K449" s="1"/>
  <c r="K450" s="1"/>
  <c r="K451" s="1"/>
  <c r="K452" s="1"/>
  <c r="K453" s="1"/>
  <c r="K454" s="1"/>
  <c r="K455" s="1"/>
  <c r="K456" s="1"/>
  <c r="K457" s="1"/>
  <c r="K458" s="1"/>
  <c r="K459" s="1"/>
  <c r="K460" s="1"/>
  <c r="K461" s="1"/>
  <c r="K462" s="1"/>
  <c r="K463" s="1"/>
  <c r="K464" s="1"/>
  <c r="K465" s="1"/>
  <c r="K466" s="1"/>
  <c r="K467" s="1"/>
  <c r="K468" s="1"/>
  <c r="K469" s="1"/>
  <c r="K470" s="1"/>
  <c r="K471" s="1"/>
  <c r="K472" s="1"/>
  <c r="K473" s="1"/>
  <c r="K474" s="1"/>
  <c r="K475" s="1"/>
  <c r="K476" s="1"/>
  <c r="K477" s="1"/>
  <c r="K478" s="1"/>
  <c r="K479" s="1"/>
  <c r="K480" s="1"/>
  <c r="K481" s="1"/>
  <c r="K482" s="1"/>
  <c r="K483" s="1"/>
  <c r="K484" s="1"/>
  <c r="K485" s="1"/>
  <c r="K486" s="1"/>
  <c r="K487" s="1"/>
  <c r="K488" s="1"/>
  <c r="K489" s="1"/>
  <c r="K490" s="1"/>
  <c r="K491" s="1"/>
  <c r="K492" s="1"/>
  <c r="K493" s="1"/>
  <c r="K494" s="1"/>
  <c r="K495" s="1"/>
  <c r="K496" s="1"/>
  <c r="K497" s="1"/>
  <c r="K498" s="1"/>
  <c r="K499" s="1"/>
  <c r="K500" s="1"/>
  <c r="K501" s="1"/>
  <c r="K502" s="1"/>
  <c r="K503" s="1"/>
  <c r="K504" s="1"/>
  <c r="K505" s="1"/>
  <c r="K506" s="1"/>
  <c r="K507" s="1"/>
  <c r="K508" s="1"/>
  <c r="K509" s="1"/>
  <c r="K510" s="1"/>
  <c r="K511" s="1"/>
  <c r="K512" s="1"/>
  <c r="K513" s="1"/>
  <c r="K514" s="1"/>
  <c r="K515" s="1"/>
  <c r="K516" s="1"/>
  <c r="K517" s="1"/>
  <c r="K518" s="1"/>
  <c r="K519" s="1"/>
  <c r="K520" s="1"/>
  <c r="K521" s="1"/>
  <c r="K522" s="1"/>
  <c r="K523" s="1"/>
  <c r="K524" s="1"/>
  <c r="K525" s="1"/>
  <c r="K526" s="1"/>
  <c r="K527" s="1"/>
  <c r="K528" s="1"/>
  <c r="K529" s="1"/>
  <c r="K530" s="1"/>
  <c r="K531" s="1"/>
  <c r="K532" s="1"/>
  <c r="K533" s="1"/>
  <c r="K534" s="1"/>
  <c r="K535" s="1"/>
  <c r="K536" s="1"/>
  <c r="K537" s="1"/>
  <c r="K538" s="1"/>
  <c r="K539" s="1"/>
  <c r="K540" s="1"/>
  <c r="K541" s="1"/>
  <c r="K542" s="1"/>
  <c r="K543" s="1"/>
  <c r="K544" s="1"/>
  <c r="K545" s="1"/>
  <c r="K546" s="1"/>
  <c r="K547" s="1"/>
  <c r="K548" s="1"/>
  <c r="K549" s="1"/>
  <c r="K550" s="1"/>
  <c r="K551" s="1"/>
  <c r="K552" s="1"/>
  <c r="K553" s="1"/>
  <c r="K554" s="1"/>
  <c r="K555" s="1"/>
  <c r="K556" s="1"/>
  <c r="K557" s="1"/>
  <c r="K558" s="1"/>
  <c r="K559" s="1"/>
  <c r="K560" s="1"/>
  <c r="K561" s="1"/>
  <c r="K562" s="1"/>
  <c r="K563" s="1"/>
  <c r="K564" s="1"/>
  <c r="K565" s="1"/>
  <c r="K566" s="1"/>
  <c r="K567" s="1"/>
  <c r="K568" s="1"/>
  <c r="K569" s="1"/>
  <c r="K570" s="1"/>
  <c r="K571" s="1"/>
  <c r="K572" s="1"/>
  <c r="K573" s="1"/>
  <c r="K574" s="1"/>
  <c r="K575" s="1"/>
  <c r="K576" s="1"/>
  <c r="K577" s="1"/>
  <c r="K578" s="1"/>
  <c r="K579" s="1"/>
  <c r="K580" s="1"/>
  <c r="K581" s="1"/>
  <c r="K582" s="1"/>
  <c r="K583" s="1"/>
  <c r="K584" s="1"/>
  <c r="K585" s="1"/>
  <c r="K586" s="1"/>
  <c r="K587" s="1"/>
  <c r="K588" s="1"/>
  <c r="K589" s="1"/>
  <c r="K590" s="1"/>
  <c r="K591" s="1"/>
  <c r="K592" s="1"/>
  <c r="K593" s="1"/>
  <c r="K594" s="1"/>
  <c r="K595" s="1"/>
  <c r="K596" s="1"/>
  <c r="K597" s="1"/>
  <c r="K598" s="1"/>
  <c r="K599" s="1"/>
  <c r="K600" s="1"/>
  <c r="K601" s="1"/>
  <c r="K602" s="1"/>
  <c r="K603" s="1"/>
  <c r="K604" s="1"/>
  <c r="K605" s="1"/>
  <c r="K606" s="1"/>
  <c r="K607" s="1"/>
  <c r="K608" s="1"/>
  <c r="K609" s="1"/>
  <c r="K610" s="1"/>
  <c r="K611" s="1"/>
  <c r="K612" s="1"/>
  <c r="K613" s="1"/>
  <c r="K614" s="1"/>
  <c r="K615" s="1"/>
  <c r="K616" s="1"/>
  <c r="K617" s="1"/>
  <c r="K618" s="1"/>
  <c r="K619" s="1"/>
  <c r="K620" s="1"/>
  <c r="K621" s="1"/>
  <c r="K622" s="1"/>
  <c r="K623" s="1"/>
  <c r="K624" s="1"/>
  <c r="K625" s="1"/>
  <c r="K626" s="1"/>
  <c r="K627" s="1"/>
  <c r="K628" s="1"/>
  <c r="K629" s="1"/>
  <c r="K630" s="1"/>
  <c r="K631" s="1"/>
  <c r="K632" s="1"/>
  <c r="K633" s="1"/>
  <c r="K634" s="1"/>
  <c r="K635" s="1"/>
  <c r="K636" s="1"/>
  <c r="K637" s="1"/>
  <c r="K638" s="1"/>
  <c r="K639" s="1"/>
  <c r="K640" s="1"/>
  <c r="K641" s="1"/>
  <c r="K642" s="1"/>
  <c r="K643" s="1"/>
  <c r="K644" s="1"/>
  <c r="K645" s="1"/>
  <c r="K646" s="1"/>
  <c r="K647" s="1"/>
  <c r="K648" s="1"/>
  <c r="K649" s="1"/>
  <c r="K650" s="1"/>
  <c r="K651" s="1"/>
  <c r="K652" s="1"/>
  <c r="K653" s="1"/>
  <c r="K654" s="1"/>
  <c r="K655" s="1"/>
  <c r="K656" s="1"/>
  <c r="K657" s="1"/>
  <c r="K658" s="1"/>
  <c r="K659" s="1"/>
  <c r="K660" s="1"/>
  <c r="K661" s="1"/>
  <c r="K662" s="1"/>
  <c r="K663" s="1"/>
  <c r="K664" s="1"/>
  <c r="K665" s="1"/>
  <c r="K666" s="1"/>
  <c r="K667" s="1"/>
  <c r="K668" s="1"/>
  <c r="K669" s="1"/>
  <c r="K670" s="1"/>
  <c r="K671" s="1"/>
  <c r="K672" s="1"/>
  <c r="K673" s="1"/>
  <c r="K674" s="1"/>
  <c r="K675" s="1"/>
  <c r="K676" s="1"/>
  <c r="K677" s="1"/>
  <c r="K678" s="1"/>
  <c r="K679" s="1"/>
  <c r="K680" s="1"/>
  <c r="K681" s="1"/>
  <c r="K682" s="1"/>
  <c r="K683" s="1"/>
  <c r="K684" s="1"/>
  <c r="K685" s="1"/>
  <c r="K686" s="1"/>
  <c r="K687" s="1"/>
  <c r="K688" s="1"/>
  <c r="K689" s="1"/>
  <c r="K690" s="1"/>
  <c r="K691" s="1"/>
  <c r="K692" s="1"/>
  <c r="K693" s="1"/>
  <c r="K694" s="1"/>
  <c r="K695" s="1"/>
  <c r="K696" s="1"/>
  <c r="K697" s="1"/>
  <c r="K698" s="1"/>
  <c r="K699" s="1"/>
  <c r="K700" s="1"/>
  <c r="K701" s="1"/>
  <c r="K702" s="1"/>
  <c r="K703" s="1"/>
  <c r="K704" s="1"/>
  <c r="K705" s="1"/>
  <c r="K706" s="1"/>
  <c r="K707" s="1"/>
  <c r="K708" s="1"/>
  <c r="K709" s="1"/>
  <c r="K710" s="1"/>
  <c r="K711" s="1"/>
  <c r="K712" s="1"/>
  <c r="K713" s="1"/>
  <c r="K714" s="1"/>
  <c r="K715" s="1"/>
  <c r="K716" s="1"/>
  <c r="K717" s="1"/>
  <c r="K718" s="1"/>
  <c r="K719" s="1"/>
  <c r="K720" s="1"/>
  <c r="K721" s="1"/>
  <c r="K722" s="1"/>
  <c r="K723" s="1"/>
  <c r="K724" s="1"/>
  <c r="K725" s="1"/>
  <c r="K726" s="1"/>
  <c r="K727" s="1"/>
  <c r="K728" s="1"/>
  <c r="K729" s="1"/>
  <c r="K730" s="1"/>
  <c r="K731" s="1"/>
  <c r="K732" s="1"/>
  <c r="K733" s="1"/>
  <c r="K734" s="1"/>
  <c r="K735" s="1"/>
  <c r="K736" s="1"/>
  <c r="K737" s="1"/>
  <c r="K738" s="1"/>
  <c r="K739" s="1"/>
  <c r="K740" s="1"/>
  <c r="K741" s="1"/>
  <c r="K742" s="1"/>
  <c r="K743" s="1"/>
  <c r="K744" s="1"/>
  <c r="K745" s="1"/>
  <c r="K746" s="1"/>
  <c r="K747" s="1"/>
  <c r="K748" s="1"/>
  <c r="K749" s="1"/>
  <c r="K750" s="1"/>
  <c r="K751" s="1"/>
  <c r="K752" s="1"/>
  <c r="K753" s="1"/>
  <c r="K754" s="1"/>
  <c r="K755" s="1"/>
  <c r="K756" s="1"/>
  <c r="K757" s="1"/>
  <c r="K758" s="1"/>
  <c r="K759" s="1"/>
  <c r="K760" s="1"/>
  <c r="K761" s="1"/>
  <c r="K762" s="1"/>
  <c r="K763" s="1"/>
  <c r="K764" s="1"/>
  <c r="K765" s="1"/>
  <c r="K766" s="1"/>
  <c r="K767" s="1"/>
  <c r="K768" s="1"/>
  <c r="K769" s="1"/>
  <c r="K770" s="1"/>
  <c r="K771" s="1"/>
  <c r="K772" s="1"/>
  <c r="K773" s="1"/>
  <c r="K774" s="1"/>
  <c r="K775" s="1"/>
  <c r="K776" s="1"/>
  <c r="K777" s="1"/>
  <c r="K778" s="1"/>
  <c r="K779" s="1"/>
  <c r="K780" s="1"/>
  <c r="K781" s="1"/>
  <c r="K782" s="1"/>
  <c r="K783" s="1"/>
  <c r="K784" s="1"/>
  <c r="K785" s="1"/>
  <c r="K786" s="1"/>
  <c r="K787" s="1"/>
  <c r="K788" s="1"/>
  <c r="K789" s="1"/>
  <c r="K790" s="1"/>
  <c r="K791" s="1"/>
  <c r="K792" s="1"/>
  <c r="K793" s="1"/>
  <c r="K794" s="1"/>
  <c r="K795" s="1"/>
  <c r="K796" s="1"/>
  <c r="K797" s="1"/>
  <c r="K798" s="1"/>
  <c r="K799" s="1"/>
  <c r="K800" s="1"/>
  <c r="K801" s="1"/>
  <c r="K802" s="1"/>
  <c r="K803" s="1"/>
  <c r="K804" s="1"/>
  <c r="K805" s="1"/>
  <c r="K806" s="1"/>
  <c r="K807" s="1"/>
  <c r="K808" s="1"/>
  <c r="K809" s="1"/>
  <c r="K810" s="1"/>
  <c r="K811" s="1"/>
  <c r="K812" s="1"/>
  <c r="K813" s="1"/>
  <c r="K814" s="1"/>
  <c r="K815" s="1"/>
  <c r="K816" s="1"/>
  <c r="K817" s="1"/>
  <c r="K818" s="1"/>
  <c r="K819" s="1"/>
  <c r="K820" s="1"/>
  <c r="K821" s="1"/>
  <c r="K822" s="1"/>
  <c r="K823" s="1"/>
  <c r="K824" s="1"/>
  <c r="K825" s="1"/>
  <c r="K826" s="1"/>
  <c r="K827" s="1"/>
  <c r="K828" s="1"/>
  <c r="K829" s="1"/>
  <c r="K830" s="1"/>
  <c r="K831" s="1"/>
  <c r="K832" s="1"/>
  <c r="K833" s="1"/>
  <c r="K834" s="1"/>
  <c r="K835" s="1"/>
  <c r="K836" s="1"/>
  <c r="K837" s="1"/>
  <c r="K838" s="1"/>
  <c r="K839" s="1"/>
  <c r="K840" s="1"/>
  <c r="K841" s="1"/>
  <c r="K842" s="1"/>
  <c r="K843" s="1"/>
  <c r="K844" s="1"/>
  <c r="K845" s="1"/>
  <c r="K846" s="1"/>
  <c r="K847" s="1"/>
  <c r="K848" s="1"/>
  <c r="K849" s="1"/>
  <c r="K850" s="1"/>
  <c r="K851" s="1"/>
  <c r="K852" s="1"/>
  <c r="K853" s="1"/>
  <c r="K854" s="1"/>
  <c r="K855" s="1"/>
  <c r="K856" s="1"/>
  <c r="K857" s="1"/>
  <c r="K858" s="1"/>
  <c r="K859" s="1"/>
  <c r="K860" s="1"/>
  <c r="K861" s="1"/>
  <c r="K862" s="1"/>
  <c r="K863" s="1"/>
  <c r="K864" s="1"/>
  <c r="K865" s="1"/>
  <c r="K866" s="1"/>
  <c r="K867" s="1"/>
  <c r="K868" s="1"/>
  <c r="K869" s="1"/>
  <c r="K870" s="1"/>
  <c r="K871" s="1"/>
  <c r="K872" s="1"/>
  <c r="K873" s="1"/>
  <c r="K874" s="1"/>
  <c r="K875" s="1"/>
  <c r="K876" s="1"/>
  <c r="K877" s="1"/>
  <c r="K878" s="1"/>
  <c r="K879" s="1"/>
  <c r="K880" s="1"/>
  <c r="K881" s="1"/>
  <c r="K882" s="1"/>
  <c r="K883" s="1"/>
  <c r="K884" s="1"/>
  <c r="K885" s="1"/>
  <c r="K886" s="1"/>
  <c r="K887" s="1"/>
  <c r="K888" s="1"/>
  <c r="K889" s="1"/>
  <c r="K890" s="1"/>
  <c r="K891" s="1"/>
  <c r="K892" s="1"/>
  <c r="K893" s="1"/>
  <c r="K894" s="1"/>
  <c r="K895" s="1"/>
  <c r="K896" s="1"/>
  <c r="K897" s="1"/>
  <c r="K898" s="1"/>
  <c r="K899" s="1"/>
  <c r="K900" s="1"/>
  <c r="K901" s="1"/>
  <c r="K902" s="1"/>
  <c r="K903" s="1"/>
  <c r="K904" s="1"/>
  <c r="K905" s="1"/>
  <c r="K906" s="1"/>
  <c r="K907" s="1"/>
  <c r="K908" s="1"/>
  <c r="K909" s="1"/>
  <c r="K910" s="1"/>
  <c r="K911" s="1"/>
  <c r="K912" s="1"/>
  <c r="K913" s="1"/>
  <c r="K914" s="1"/>
  <c r="K915" s="1"/>
  <c r="K916" s="1"/>
  <c r="K917" s="1"/>
  <c r="K918" s="1"/>
  <c r="K919" s="1"/>
  <c r="K920" s="1"/>
  <c r="K921" s="1"/>
  <c r="K922" s="1"/>
  <c r="K923" s="1"/>
  <c r="K924" s="1"/>
  <c r="K925" s="1"/>
  <c r="K926" s="1"/>
  <c r="K927" s="1"/>
  <c r="K928" s="1"/>
  <c r="K929" s="1"/>
  <c r="K930" s="1"/>
  <c r="K931" s="1"/>
  <c r="K932" s="1"/>
  <c r="K933" s="1"/>
  <c r="K934" s="1"/>
  <c r="K935" s="1"/>
  <c r="K936" s="1"/>
  <c r="K937" s="1"/>
  <c r="K938" s="1"/>
  <c r="K939" s="1"/>
  <c r="K940" s="1"/>
  <c r="K941" s="1"/>
  <c r="K942" s="1"/>
  <c r="K943" s="1"/>
  <c r="K944" s="1"/>
  <c r="K945" s="1"/>
  <c r="K946" s="1"/>
  <c r="K947" s="1"/>
  <c r="K948" s="1"/>
  <c r="K949" s="1"/>
  <c r="K950" s="1"/>
  <c r="K951" s="1"/>
  <c r="K952" s="1"/>
  <c r="K953" s="1"/>
  <c r="K954" s="1"/>
  <c r="K955" s="1"/>
  <c r="K956" s="1"/>
  <c r="K957" s="1"/>
  <c r="K958" s="1"/>
  <c r="K959" s="1"/>
  <c r="K960" s="1"/>
  <c r="K961" s="1"/>
  <c r="K962" s="1"/>
  <c r="K963" s="1"/>
  <c r="K964" s="1"/>
  <c r="K965" s="1"/>
  <c r="K966" s="1"/>
  <c r="K967" s="1"/>
  <c r="K968" s="1"/>
  <c r="K969" s="1"/>
  <c r="K970" s="1"/>
  <c r="K971" s="1"/>
  <c r="K972" s="1"/>
  <c r="K973" s="1"/>
  <c r="K974" s="1"/>
  <c r="K975" s="1"/>
  <c r="K976" s="1"/>
  <c r="K977" s="1"/>
  <c r="K978" s="1"/>
  <c r="K979" s="1"/>
  <c r="K980" s="1"/>
  <c r="K981" s="1"/>
  <c r="K982" s="1"/>
  <c r="K983" s="1"/>
  <c r="K984" s="1"/>
  <c r="K985" s="1"/>
  <c r="K986" s="1"/>
  <c r="K987" s="1"/>
  <c r="K988" s="1"/>
  <c r="K989" s="1"/>
  <c r="K990" s="1"/>
  <c r="K991" s="1"/>
  <c r="K992" s="1"/>
  <c r="K993" s="1"/>
  <c r="K994" s="1"/>
  <c r="K995" s="1"/>
  <c r="K996" s="1"/>
  <c r="K997" s="1"/>
  <c r="K998" s="1"/>
  <c r="K999" s="1"/>
  <c r="K1000" s="1"/>
  <c r="K1001" s="1"/>
  <c r="K1002" s="1"/>
  <c r="K1003" s="1"/>
  <c r="K1004" s="1"/>
  <c r="K1005" s="1"/>
  <c r="K1006" s="1"/>
  <c r="K1007" s="1"/>
  <c r="K1008" s="1"/>
  <c r="K1009" s="1"/>
  <c r="K1010" s="1"/>
  <c r="K1011" s="1"/>
  <c r="K1012" s="1"/>
  <c r="K1013" s="1"/>
  <c r="K1014" s="1"/>
  <c r="K1015" s="1"/>
  <c r="K1016" s="1"/>
  <c r="K1017" s="1"/>
  <c r="K1018" s="1"/>
  <c r="K1019" s="1"/>
  <c r="K1020" s="1"/>
  <c r="K1021" s="1"/>
  <c r="K1022" s="1"/>
  <c r="K1023" s="1"/>
  <c r="K1024" s="1"/>
  <c r="K1025" s="1"/>
  <c r="K1026" s="1"/>
  <c r="K1027" s="1"/>
  <c r="K1028" s="1"/>
  <c r="K1029" s="1"/>
  <c r="K1030" s="1"/>
  <c r="K1031" s="1"/>
  <c r="K1032" s="1"/>
  <c r="K1033" s="1"/>
  <c r="K1034" s="1"/>
  <c r="K1035" s="1"/>
  <c r="K1036" s="1"/>
  <c r="K1037" s="1"/>
  <c r="K1038" s="1"/>
  <c r="K1039" s="1"/>
  <c r="K1040" s="1"/>
  <c r="K1041" s="1"/>
  <c r="K1042" s="1"/>
  <c r="K1043" s="1"/>
  <c r="K1044" s="1"/>
  <c r="K1045" s="1"/>
  <c r="K1046" s="1"/>
  <c r="K1047" s="1"/>
  <c r="K1048" s="1"/>
  <c r="K1049" s="1"/>
  <c r="K1050" s="1"/>
  <c r="K1051" s="1"/>
  <c r="K1052" s="1"/>
  <c r="K1053" s="1"/>
  <c r="K1054" s="1"/>
  <c r="K1055" s="1"/>
  <c r="K1056" s="1"/>
  <c r="K1057" s="1"/>
  <c r="K1058" s="1"/>
  <c r="K1059" s="1"/>
  <c r="K1060" s="1"/>
  <c r="K1061" s="1"/>
  <c r="K1062" s="1"/>
  <c r="K1063" s="1"/>
  <c r="K1064" s="1"/>
  <c r="K1065" s="1"/>
  <c r="K1066" s="1"/>
  <c r="K1067" s="1"/>
  <c r="K1068" s="1"/>
  <c r="K1069" s="1"/>
  <c r="K1070" s="1"/>
  <c r="K1071" s="1"/>
  <c r="K1072" s="1"/>
  <c r="K1073" s="1"/>
  <c r="K1074" s="1"/>
  <c r="K1075" s="1"/>
  <c r="K1076" s="1"/>
  <c r="K1077" s="1"/>
  <c r="K1078" s="1"/>
  <c r="K1079" s="1"/>
  <c r="K1080" s="1"/>
  <c r="K1081" s="1"/>
  <c r="K1082" s="1"/>
  <c r="K1083" s="1"/>
  <c r="K1084" s="1"/>
  <c r="K1085" s="1"/>
  <c r="K1086" s="1"/>
  <c r="K1087" s="1"/>
  <c r="K1088" s="1"/>
  <c r="K1089" s="1"/>
  <c r="K1090" s="1"/>
  <c r="K1091" s="1"/>
  <c r="K1092" s="1"/>
  <c r="K1093" s="1"/>
  <c r="K1094" s="1"/>
  <c r="K1095" s="1"/>
  <c r="K1096" s="1"/>
  <c r="K1097" s="1"/>
  <c r="K1098" s="1"/>
  <c r="K1099" s="1"/>
  <c r="K1100" s="1"/>
  <c r="K1101" s="1"/>
  <c r="K1102" s="1"/>
  <c r="K1103" s="1"/>
  <c r="K1104" s="1"/>
  <c r="K1105" s="1"/>
  <c r="K1106" s="1"/>
  <c r="K1107" s="1"/>
  <c r="K1108" s="1"/>
  <c r="K1109" s="1"/>
  <c r="K1110" s="1"/>
  <c r="K1111" s="1"/>
  <c r="K1112" s="1"/>
  <c r="K1113" s="1"/>
  <c r="K1114" s="1"/>
  <c r="K1115" s="1"/>
  <c r="K1116" s="1"/>
  <c r="K1117" s="1"/>
  <c r="K1118" s="1"/>
  <c r="K1119" s="1"/>
  <c r="K1120" s="1"/>
  <c r="K1121" s="1"/>
  <c r="K1122" s="1"/>
  <c r="K1123" s="1"/>
  <c r="K1124" s="1"/>
  <c r="K1125" s="1"/>
  <c r="K1126" s="1"/>
  <c r="K1127" s="1"/>
  <c r="K1128" s="1"/>
  <c r="K1129" s="1"/>
  <c r="K1130" s="1"/>
  <c r="K1131" s="1"/>
  <c r="K1132" s="1"/>
  <c r="K1133" s="1"/>
  <c r="K1134" s="1"/>
  <c r="K1135" s="1"/>
  <c r="K1136" s="1"/>
  <c r="K1137" s="1"/>
  <c r="K1138" s="1"/>
  <c r="K1139" s="1"/>
  <c r="K1140" s="1"/>
  <c r="K1141" s="1"/>
  <c r="K1142" s="1"/>
  <c r="K1143" s="1"/>
  <c r="K1144" s="1"/>
  <c r="K1145" s="1"/>
  <c r="K1146" s="1"/>
  <c r="K1147" s="1"/>
  <c r="K1148" s="1"/>
  <c r="K1149" s="1"/>
  <c r="K1150" s="1"/>
  <c r="K1151" s="1"/>
  <c r="K1152" s="1"/>
  <c r="K1153" s="1"/>
  <c r="K1154" s="1"/>
  <c r="K1155" s="1"/>
  <c r="K1156" s="1"/>
  <c r="K1157" s="1"/>
  <c r="K1158" s="1"/>
  <c r="K1159" s="1"/>
  <c r="K1160" s="1"/>
  <c r="K1161" s="1"/>
  <c r="K1162" s="1"/>
  <c r="K1163" s="1"/>
  <c r="K1164" s="1"/>
  <c r="K1165" s="1"/>
  <c r="K1166" s="1"/>
  <c r="K1167" s="1"/>
  <c r="K1168" s="1"/>
  <c r="K1169" s="1"/>
  <c r="K1170" s="1"/>
  <c r="K1171" s="1"/>
  <c r="K1172" s="1"/>
  <c r="K1173" s="1"/>
  <c r="K1174" s="1"/>
  <c r="K1175" s="1"/>
  <c r="K1176" s="1"/>
  <c r="K1177" s="1"/>
  <c r="K1178" s="1"/>
  <c r="K1179" s="1"/>
  <c r="K1180" s="1"/>
  <c r="K1181" s="1"/>
  <c r="K1182" s="1"/>
  <c r="K1183" s="1"/>
  <c r="K1184" s="1"/>
  <c r="K1185" s="1"/>
  <c r="K1186" s="1"/>
  <c r="K1187" s="1"/>
  <c r="K1188" s="1"/>
  <c r="K1189" s="1"/>
  <c r="K1190" s="1"/>
  <c r="K1191" s="1"/>
  <c r="K1192" s="1"/>
  <c r="K1193" s="1"/>
  <c r="K1194" s="1"/>
  <c r="K1195" s="1"/>
  <c r="K1196" s="1"/>
  <c r="K1197" s="1"/>
  <c r="K1198" s="1"/>
  <c r="K1199" s="1"/>
  <c r="K1200" s="1"/>
  <c r="K1201" s="1"/>
  <c r="K1202" s="1"/>
  <c r="K1203" s="1"/>
  <c r="K1204" s="1"/>
  <c r="K1205" s="1"/>
  <c r="K1206" s="1"/>
  <c r="K1207" s="1"/>
  <c r="K1208" s="1"/>
  <c r="K1209" s="1"/>
  <c r="K1210" s="1"/>
  <c r="K1211" s="1"/>
  <c r="K1212" s="1"/>
  <c r="K1213" s="1"/>
  <c r="K1214" s="1"/>
  <c r="K1215" s="1"/>
  <c r="K1216" s="1"/>
  <c r="K1217" s="1"/>
  <c r="K1218" s="1"/>
  <c r="K1219" s="1"/>
  <c r="K1220" s="1"/>
  <c r="K1221" s="1"/>
  <c r="K1222" s="1"/>
  <c r="K1223" s="1"/>
  <c r="K1224" s="1"/>
  <c r="K1225" s="1"/>
  <c r="K1226" s="1"/>
  <c r="K1227" s="1"/>
  <c r="K1228" s="1"/>
  <c r="K1229" s="1"/>
  <c r="K1230" s="1"/>
  <c r="K1231" s="1"/>
  <c r="K1232" s="1"/>
  <c r="K1233" s="1"/>
  <c r="K1234" s="1"/>
  <c r="K1235" s="1"/>
  <c r="K1236" s="1"/>
  <c r="K1237" s="1"/>
  <c r="K1238" s="1"/>
  <c r="K1239" s="1"/>
  <c r="K1240" s="1"/>
  <c r="K1241" s="1"/>
  <c r="K1242" s="1"/>
  <c r="K1243" s="1"/>
  <c r="K1244" s="1"/>
  <c r="K1245" s="1"/>
  <c r="K1246" s="1"/>
  <c r="K1247" s="1"/>
  <c r="K1248" s="1"/>
  <c r="K1249" s="1"/>
  <c r="K1250" s="1"/>
  <c r="K1251" s="1"/>
  <c r="K1252" s="1"/>
  <c r="K1253" s="1"/>
  <c r="K1254" s="1"/>
  <c r="K1255" s="1"/>
  <c r="K1256" s="1"/>
  <c r="K1257" s="1"/>
  <c r="K1258" s="1"/>
  <c r="K1259" s="1"/>
  <c r="K1260" s="1"/>
  <c r="K1261" s="1"/>
  <c r="K1262" s="1"/>
  <c r="K1263" s="1"/>
  <c r="K1264" s="1"/>
  <c r="K1265" s="1"/>
  <c r="K1266" s="1"/>
  <c r="K1267" s="1"/>
  <c r="K1268" s="1"/>
  <c r="K1269" s="1"/>
  <c r="K1270" s="1"/>
  <c r="K1271" s="1"/>
  <c r="K1272" s="1"/>
  <c r="K1273" s="1"/>
  <c r="K1274" s="1"/>
  <c r="K1275" s="1"/>
  <c r="K1276" s="1"/>
  <c r="K1277" s="1"/>
  <c r="K1278" s="1"/>
  <c r="K1279" s="1"/>
  <c r="K1280" s="1"/>
  <c r="K1281" s="1"/>
  <c r="K1282" s="1"/>
  <c r="K1283" s="1"/>
  <c r="K1284" s="1"/>
  <c r="K1285" s="1"/>
  <c r="K1286" s="1"/>
  <c r="K1287" s="1"/>
  <c r="K1288" s="1"/>
  <c r="K1289" s="1"/>
  <c r="K1290" s="1"/>
  <c r="K1291" s="1"/>
  <c r="K1292" s="1"/>
  <c r="K1293" s="1"/>
  <c r="K1294" s="1"/>
  <c r="K1295" s="1"/>
  <c r="K1296" s="1"/>
  <c r="K1297" s="1"/>
  <c r="K1298" s="1"/>
  <c r="K1299" s="1"/>
  <c r="K1300" s="1"/>
  <c r="K1301" s="1"/>
  <c r="K1302" s="1"/>
  <c r="K1303" s="1"/>
  <c r="K1304" s="1"/>
  <c r="K1305" s="1"/>
  <c r="K1306" s="1"/>
  <c r="K1307" s="1"/>
  <c r="K1308" s="1"/>
  <c r="K1309" s="1"/>
  <c r="K1310" s="1"/>
  <c r="K1311" s="1"/>
  <c r="K1312" s="1"/>
  <c r="K1313" s="1"/>
  <c r="K1314" s="1"/>
  <c r="K1315" s="1"/>
  <c r="K1316" s="1"/>
  <c r="K1317" s="1"/>
  <c r="K1318" s="1"/>
  <c r="K1319" s="1"/>
  <c r="K1320" s="1"/>
  <c r="K1321" s="1"/>
  <c r="K1322" s="1"/>
  <c r="K1323" s="1"/>
  <c r="K1324" s="1"/>
  <c r="K1325" s="1"/>
  <c r="K1326" s="1"/>
  <c r="K1327" s="1"/>
  <c r="K1328" s="1"/>
  <c r="K1329" s="1"/>
  <c r="K1330" s="1"/>
  <c r="K1331" s="1"/>
  <c r="K1332" s="1"/>
  <c r="K1333" s="1"/>
  <c r="K1334" s="1"/>
  <c r="K1335" s="1"/>
  <c r="K1336" s="1"/>
  <c r="K1337" s="1"/>
  <c r="K1338" s="1"/>
  <c r="K1339" s="1"/>
  <c r="K1340" s="1"/>
  <c r="K1341" s="1"/>
  <c r="K1342" s="1"/>
  <c r="K1343" s="1"/>
  <c r="K1344" s="1"/>
  <c r="K1345" s="1"/>
  <c r="K1346" s="1"/>
  <c r="K1347" s="1"/>
  <c r="K1348" s="1"/>
  <c r="K1349" s="1"/>
  <c r="K1350" s="1"/>
  <c r="K1351" s="1"/>
  <c r="K1352" s="1"/>
  <c r="K1353" s="1"/>
  <c r="K1354" s="1"/>
  <c r="K1355" s="1"/>
  <c r="K1356" s="1"/>
  <c r="K1357" s="1"/>
  <c r="K1358" s="1"/>
  <c r="K1359" s="1"/>
  <c r="K1360" s="1"/>
  <c r="K1361" s="1"/>
  <c r="K1362" s="1"/>
  <c r="K1363" s="1"/>
  <c r="K1364" s="1"/>
  <c r="K1365" s="1"/>
  <c r="K1366" s="1"/>
  <c r="K1367" s="1"/>
  <c r="K1368" s="1"/>
  <c r="K1369" s="1"/>
  <c r="K1370" s="1"/>
  <c r="K1371" s="1"/>
  <c r="K1372" s="1"/>
  <c r="K1373" s="1"/>
  <c r="K1374" s="1"/>
  <c r="K1375" s="1"/>
  <c r="K1376" s="1"/>
  <c r="K1377" s="1"/>
  <c r="K1378" s="1"/>
  <c r="K1379" s="1"/>
  <c r="K1380" s="1"/>
  <c r="K1381" s="1"/>
  <c r="K1382" s="1"/>
  <c r="K1383" s="1"/>
  <c r="K1384" s="1"/>
  <c r="K1385" s="1"/>
  <c r="K1386" s="1"/>
  <c r="K1387" s="1"/>
  <c r="K1388" s="1"/>
  <c r="K1389" s="1"/>
  <c r="K1390" s="1"/>
  <c r="K1391" s="1"/>
  <c r="K1392" s="1"/>
  <c r="K1393" s="1"/>
  <c r="K1394" s="1"/>
  <c r="K1395" s="1"/>
  <c r="K1396" s="1"/>
  <c r="K1397" s="1"/>
  <c r="K1398" s="1"/>
  <c r="K1399" s="1"/>
  <c r="K1400" s="1"/>
  <c r="K1401" s="1"/>
  <c r="K1402" s="1"/>
  <c r="K1403" s="1"/>
  <c r="K1404" s="1"/>
  <c r="K1405" s="1"/>
  <c r="K1406" s="1"/>
  <c r="K1407" s="1"/>
  <c r="K1408" s="1"/>
  <c r="K1409" s="1"/>
  <c r="K1410" s="1"/>
  <c r="K1411" s="1"/>
  <c r="K1412" s="1"/>
  <c r="K1413" s="1"/>
  <c r="K1414" s="1"/>
  <c r="K1415" s="1"/>
  <c r="K1416" s="1"/>
  <c r="K1417" s="1"/>
  <c r="K1418" s="1"/>
  <c r="K1419" s="1"/>
  <c r="K1420" s="1"/>
  <c r="K1421" s="1"/>
  <c r="K1422" s="1"/>
  <c r="K1423" s="1"/>
  <c r="K1424" s="1"/>
  <c r="K1425" s="1"/>
  <c r="K1426" s="1"/>
  <c r="K1427" s="1"/>
  <c r="K1428" s="1"/>
  <c r="K1429" s="1"/>
  <c r="K1430" s="1"/>
  <c r="K1431" s="1"/>
  <c r="K1432" s="1"/>
  <c r="K1433" s="1"/>
  <c r="K1434" s="1"/>
  <c r="K1435" s="1"/>
  <c r="K1436" s="1"/>
  <c r="K1437" s="1"/>
  <c r="K1438" s="1"/>
  <c r="K1439" s="1"/>
  <c r="K1440" s="1"/>
  <c r="K1441" s="1"/>
  <c r="K1442" s="1"/>
  <c r="K1443" s="1"/>
  <c r="K1444" s="1"/>
  <c r="K1445" s="1"/>
  <c r="K1446" s="1"/>
  <c r="K1447" s="1"/>
  <c r="K1448" s="1"/>
  <c r="K1449" s="1"/>
  <c r="K1450" s="1"/>
  <c r="K1451" s="1"/>
  <c r="K1452" s="1"/>
  <c r="K1453" s="1"/>
  <c r="K1454" s="1"/>
  <c r="K1455" s="1"/>
  <c r="K1456" s="1"/>
  <c r="K1457" s="1"/>
  <c r="K1458" s="1"/>
  <c r="K1459" s="1"/>
  <c r="K1460" s="1"/>
  <c r="K1461" s="1"/>
  <c r="K1462" s="1"/>
  <c r="K1463" s="1"/>
  <c r="K1464" s="1"/>
  <c r="K1465" s="1"/>
  <c r="K1466" s="1"/>
  <c r="K1467" s="1"/>
  <c r="K1468" s="1"/>
  <c r="K1469" s="1"/>
  <c r="K1470" s="1"/>
  <c r="K1471" s="1"/>
  <c r="K1472" s="1"/>
  <c r="K1473" s="1"/>
  <c r="K1474" s="1"/>
  <c r="K1475" s="1"/>
  <c r="K1476" s="1"/>
  <c r="K1477" s="1"/>
  <c r="K1478" s="1"/>
  <c r="K1479" s="1"/>
  <c r="K1480" s="1"/>
  <c r="K1481" s="1"/>
  <c r="K1482" s="1"/>
  <c r="K1483" s="1"/>
  <c r="K1484" s="1"/>
  <c r="K1485" s="1"/>
  <c r="K1486" s="1"/>
  <c r="K1487" s="1"/>
  <c r="K1488" s="1"/>
  <c r="K1489" s="1"/>
  <c r="K1490" s="1"/>
  <c r="K1491" s="1"/>
  <c r="K1492" s="1"/>
  <c r="K1493" s="1"/>
  <c r="K1494" s="1"/>
  <c r="K1495" s="1"/>
  <c r="K1496" s="1"/>
  <c r="K1497" s="1"/>
  <c r="K1498" s="1"/>
  <c r="K1499" s="1"/>
  <c r="K1500" s="1"/>
  <c r="K1501" s="1"/>
  <c r="K1502" s="1"/>
  <c r="K1503" s="1"/>
  <c r="K1504" s="1"/>
  <c r="K1505" s="1"/>
  <c r="K1506" s="1"/>
  <c r="K1507" s="1"/>
  <c r="K1508" s="1"/>
  <c r="K1509" s="1"/>
  <c r="K1510" s="1"/>
  <c r="K1511" s="1"/>
  <c r="K1512" s="1"/>
  <c r="K1513" s="1"/>
  <c r="K1514" s="1"/>
  <c r="K1515" s="1"/>
  <c r="K1516" s="1"/>
  <c r="K1517" s="1"/>
  <c r="K1518" s="1"/>
  <c r="K1519" s="1"/>
  <c r="K1520" s="1"/>
  <c r="K1521" s="1"/>
  <c r="K1522" s="1"/>
  <c r="K1523" s="1"/>
  <c r="K1524" s="1"/>
  <c r="K1525" s="1"/>
  <c r="K1526" s="1"/>
  <c r="K1527" s="1"/>
  <c r="K1528" s="1"/>
  <c r="K1529" s="1"/>
  <c r="K1530" s="1"/>
  <c r="K1531" s="1"/>
  <c r="K1532" s="1"/>
  <c r="K1533" s="1"/>
  <c r="K1534" s="1"/>
  <c r="K1535" s="1"/>
  <c r="K1536" s="1"/>
  <c r="K1537" s="1"/>
  <c r="K1538" s="1"/>
  <c r="K1539" s="1"/>
  <c r="K1540" s="1"/>
  <c r="K1541" s="1"/>
  <c r="K1542" s="1"/>
  <c r="K1543" s="1"/>
  <c r="K1544" s="1"/>
  <c r="K1545" s="1"/>
  <c r="K1546" s="1"/>
  <c r="K1547" s="1"/>
  <c r="K1548" s="1"/>
  <c r="K1549" s="1"/>
  <c r="K1550" s="1"/>
  <c r="K1551" s="1"/>
  <c r="K1552" s="1"/>
  <c r="K1553" s="1"/>
  <c r="K1554" s="1"/>
  <c r="K1555" s="1"/>
  <c r="K1556" s="1"/>
  <c r="K1557" s="1"/>
  <c r="K1558" s="1"/>
  <c r="K1559" s="1"/>
  <c r="K1560" s="1"/>
  <c r="K1561" s="1"/>
  <c r="K1562" s="1"/>
  <c r="K1563" s="1"/>
  <c r="K1564" s="1"/>
  <c r="K1565" s="1"/>
  <c r="K1566" s="1"/>
  <c r="K1567" s="1"/>
  <c r="K1568" s="1"/>
  <c r="K1569" s="1"/>
  <c r="K1570" s="1"/>
  <c r="K1571" s="1"/>
  <c r="K1572" s="1"/>
  <c r="K1573" s="1"/>
  <c r="K1574" s="1"/>
  <c r="K1575" s="1"/>
  <c r="K1576" s="1"/>
  <c r="K1577" s="1"/>
  <c r="K1578" s="1"/>
  <c r="K1579" s="1"/>
  <c r="K1580" s="1"/>
  <c r="K1581" s="1"/>
  <c r="K1582" s="1"/>
  <c r="K1583" s="1"/>
  <c r="K1584" s="1"/>
  <c r="K1585" s="1"/>
  <c r="K1586" s="1"/>
  <c r="K1587" s="1"/>
  <c r="K1588" s="1"/>
  <c r="K1589" s="1"/>
  <c r="K1590" s="1"/>
  <c r="K1591" s="1"/>
  <c r="K1592" s="1"/>
  <c r="K1593" s="1"/>
  <c r="K1594" s="1"/>
  <c r="K1595" s="1"/>
  <c r="K1596" s="1"/>
  <c r="K1597" s="1"/>
  <c r="K1598" s="1"/>
  <c r="K1599" s="1"/>
  <c r="K1600" s="1"/>
  <c r="K1601" s="1"/>
  <c r="K1602" s="1"/>
  <c r="K1603" s="1"/>
  <c r="K1604" s="1"/>
  <c r="K1605" s="1"/>
  <c r="K1606" s="1"/>
  <c r="K1607" s="1"/>
  <c r="K1608" s="1"/>
  <c r="K1609" s="1"/>
  <c r="K1610" s="1"/>
  <c r="K1611" s="1"/>
  <c r="K1612" s="1"/>
  <c r="K1613" s="1"/>
  <c r="K1614" s="1"/>
  <c r="K1615" s="1"/>
  <c r="K1616" s="1"/>
  <c r="K1617" s="1"/>
  <c r="K1618" s="1"/>
  <c r="K1619" s="1"/>
  <c r="K1620" s="1"/>
  <c r="K1621" s="1"/>
  <c r="K1622" s="1"/>
  <c r="K1623" s="1"/>
  <c r="K1624" s="1"/>
  <c r="K1625" s="1"/>
  <c r="K1626" s="1"/>
  <c r="K1627" s="1"/>
  <c r="K1628" s="1"/>
  <c r="K1629" s="1"/>
  <c r="K1630" s="1"/>
  <c r="K1631" s="1"/>
  <c r="K1632" s="1"/>
  <c r="K1633" s="1"/>
  <c r="K1634" s="1"/>
  <c r="K1635" s="1"/>
  <c r="K1636" s="1"/>
  <c r="K1637" s="1"/>
  <c r="K1638" s="1"/>
  <c r="K1639" s="1"/>
  <c r="K1640" s="1"/>
  <c r="K1641" s="1"/>
  <c r="K1642" s="1"/>
  <c r="K1643" s="1"/>
  <c r="K1644" s="1"/>
  <c r="K1645" s="1"/>
  <c r="K1646" s="1"/>
  <c r="K1647" s="1"/>
  <c r="K1648" s="1"/>
  <c r="K1649" s="1"/>
  <c r="K1650" s="1"/>
  <c r="K1651" s="1"/>
  <c r="K1652" s="1"/>
  <c r="K1653" s="1"/>
  <c r="K1654" s="1"/>
  <c r="K1655" s="1"/>
  <c r="K1656" s="1"/>
  <c r="K1657" s="1"/>
  <c r="K1658" s="1"/>
  <c r="K1659" s="1"/>
  <c r="K1660" s="1"/>
  <c r="K1661" s="1"/>
  <c r="K1662" s="1"/>
  <c r="K1663" s="1"/>
  <c r="K1664" s="1"/>
  <c r="K1665" s="1"/>
  <c r="K1666" s="1"/>
  <c r="K1667" s="1"/>
  <c r="K1668" s="1"/>
  <c r="K1669" s="1"/>
  <c r="K1670" s="1"/>
  <c r="K1671" s="1"/>
  <c r="K1672" s="1"/>
  <c r="K1673" s="1"/>
  <c r="K1674" s="1"/>
  <c r="K1675" s="1"/>
  <c r="K1676" s="1"/>
  <c r="K1677" s="1"/>
  <c r="K1678" s="1"/>
  <c r="K1679" s="1"/>
  <c r="K1680" s="1"/>
  <c r="K1681" s="1"/>
  <c r="K1682" s="1"/>
  <c r="K1683" s="1"/>
  <c r="K1684" s="1"/>
  <c r="K1685" s="1"/>
  <c r="K1686" s="1"/>
  <c r="K1687" s="1"/>
  <c r="K1688" s="1"/>
  <c r="K1689" s="1"/>
  <c r="K1690" s="1"/>
  <c r="K1691" s="1"/>
  <c r="K1692" s="1"/>
  <c r="K1693" s="1"/>
  <c r="K1694" s="1"/>
  <c r="K1695" s="1"/>
  <c r="K1696" s="1"/>
  <c r="K1697" s="1"/>
  <c r="K1698" s="1"/>
  <c r="K1699" s="1"/>
  <c r="K1700" s="1"/>
  <c r="K1701" s="1"/>
  <c r="K1702" s="1"/>
  <c r="K1703" s="1"/>
  <c r="K1704" s="1"/>
  <c r="K1705" s="1"/>
  <c r="K1706" s="1"/>
  <c r="K1707" s="1"/>
  <c r="K1708" s="1"/>
  <c r="K1709" s="1"/>
  <c r="K1710" s="1"/>
  <c r="K1711" s="1"/>
  <c r="K1712" s="1"/>
  <c r="K1713" s="1"/>
  <c r="K1714" s="1"/>
  <c r="K1715" s="1"/>
  <c r="K1716" s="1"/>
  <c r="K1717" s="1"/>
  <c r="K1718" s="1"/>
  <c r="K1719" s="1"/>
  <c r="K1720" s="1"/>
  <c r="K1721" s="1"/>
  <c r="K1722" s="1"/>
  <c r="K1723" s="1"/>
  <c r="K1724" s="1"/>
  <c r="K1725" s="1"/>
  <c r="K1726" s="1"/>
  <c r="K1727" s="1"/>
  <c r="K1728" s="1"/>
  <c r="K1729" s="1"/>
  <c r="K1730" s="1"/>
  <c r="K1731" s="1"/>
  <c r="K1732" s="1"/>
  <c r="K1733" s="1"/>
  <c r="K1734" s="1"/>
  <c r="K1735" s="1"/>
  <c r="K1736" s="1"/>
  <c r="K1737" s="1"/>
  <c r="K1738" s="1"/>
  <c r="K1739" s="1"/>
  <c r="K1740" s="1"/>
  <c r="K1741" s="1"/>
  <c r="K1742" s="1"/>
  <c r="K1743" s="1"/>
  <c r="K1744" s="1"/>
  <c r="K1745" s="1"/>
  <c r="K1746" s="1"/>
  <c r="K1747" s="1"/>
  <c r="K1748" s="1"/>
  <c r="K1749" s="1"/>
  <c r="K1750" s="1"/>
  <c r="K1751" s="1"/>
  <c r="K1752" s="1"/>
  <c r="K1753" s="1"/>
  <c r="K1754" s="1"/>
  <c r="K1755" s="1"/>
  <c r="K1756" s="1"/>
  <c r="K1757" s="1"/>
  <c r="K1758" s="1"/>
  <c r="K1759" s="1"/>
  <c r="K1760" s="1"/>
  <c r="K1761" s="1"/>
  <c r="K1762" s="1"/>
  <c r="K1763" s="1"/>
  <c r="K1764" s="1"/>
  <c r="K1765" s="1"/>
  <c r="K1766" s="1"/>
  <c r="K1767" s="1"/>
  <c r="K1768" s="1"/>
  <c r="K1769" s="1"/>
  <c r="K1770" s="1"/>
  <c r="K1771" s="1"/>
  <c r="K1772" s="1"/>
  <c r="K1773" s="1"/>
  <c r="K1774" s="1"/>
  <c r="K1775" s="1"/>
  <c r="K1776" s="1"/>
  <c r="K1777" s="1"/>
  <c r="K1778" s="1"/>
  <c r="K1779" s="1"/>
  <c r="K1780" s="1"/>
  <c r="K1781" s="1"/>
  <c r="K1782" s="1"/>
  <c r="K1783" s="1"/>
  <c r="K1784" s="1"/>
  <c r="K1785" s="1"/>
  <c r="K1786" s="1"/>
  <c r="K1787" s="1"/>
  <c r="K1788" s="1"/>
  <c r="K1789" s="1"/>
  <c r="K1790" s="1"/>
  <c r="K1791" s="1"/>
  <c r="K1792" s="1"/>
  <c r="K1793" s="1"/>
  <c r="K1794" s="1"/>
  <c r="K1795" s="1"/>
  <c r="K1796" s="1"/>
  <c r="K1797" s="1"/>
  <c r="K1798" s="1"/>
  <c r="K1799" s="1"/>
  <c r="K1800" s="1"/>
  <c r="K1801" s="1"/>
  <c r="K1802" s="1"/>
  <c r="K1803" s="1"/>
  <c r="K1804" s="1"/>
  <c r="K1805" s="1"/>
  <c r="K1806" s="1"/>
  <c r="K1807" s="1"/>
  <c r="K1808" s="1"/>
  <c r="K1809" s="1"/>
  <c r="K1810" s="1"/>
  <c r="K1811" s="1"/>
  <c r="K1812" s="1"/>
  <c r="K1813" s="1"/>
  <c r="K1814" s="1"/>
  <c r="K1815" s="1"/>
  <c r="K1816" s="1"/>
  <c r="K1817" s="1"/>
  <c r="K1818" s="1"/>
  <c r="K1819" s="1"/>
  <c r="K1820" s="1"/>
  <c r="K1821" s="1"/>
  <c r="K1822" s="1"/>
  <c r="K1823" s="1"/>
  <c r="K1824" s="1"/>
  <c r="K1825" s="1"/>
  <c r="K1826" s="1"/>
  <c r="K1827" s="1"/>
  <c r="K1828" s="1"/>
  <c r="K1829" s="1"/>
  <c r="K1830" s="1"/>
  <c r="K1831" s="1"/>
  <c r="K1832" s="1"/>
  <c r="K1833" s="1"/>
  <c r="K1834" s="1"/>
  <c r="K1835" s="1"/>
  <c r="K1836" s="1"/>
  <c r="K1837" s="1"/>
  <c r="K1838" s="1"/>
  <c r="K1839" s="1"/>
  <c r="K1840" s="1"/>
  <c r="K1841" s="1"/>
  <c r="K1842" s="1"/>
  <c r="K1843" s="1"/>
  <c r="K1844" s="1"/>
  <c r="K1845" s="1"/>
  <c r="K1846" s="1"/>
  <c r="K1847" s="1"/>
  <c r="K1848" s="1"/>
  <c r="K1849" s="1"/>
  <c r="K1850" s="1"/>
  <c r="K1851" s="1"/>
  <c r="K1852" s="1"/>
  <c r="K1853" s="1"/>
  <c r="K1854" s="1"/>
  <c r="K1855" s="1"/>
  <c r="K1856" s="1"/>
  <c r="K1857" s="1"/>
  <c r="K1858" s="1"/>
  <c r="K1859" s="1"/>
  <c r="K1860" s="1"/>
  <c r="K1861" s="1"/>
  <c r="K1862" s="1"/>
  <c r="K1863" s="1"/>
  <c r="K1864" s="1"/>
  <c r="K1865" s="1"/>
  <c r="K1866" s="1"/>
  <c r="K1867" s="1"/>
  <c r="K1868" s="1"/>
  <c r="K1869" s="1"/>
  <c r="K1870" s="1"/>
  <c r="K1871" s="1"/>
  <c r="K1872" s="1"/>
  <c r="K1873" s="1"/>
  <c r="K1874" s="1"/>
  <c r="K1875" s="1"/>
  <c r="K1876" s="1"/>
  <c r="K1877" s="1"/>
  <c r="K1878" s="1"/>
  <c r="K1879" s="1"/>
  <c r="K1880" s="1"/>
  <c r="K1881" s="1"/>
  <c r="K1882" s="1"/>
  <c r="K1883" s="1"/>
  <c r="K1884" s="1"/>
  <c r="K1885" s="1"/>
  <c r="K1886" s="1"/>
  <c r="K1887" s="1"/>
  <c r="K1888" s="1"/>
  <c r="K1889" s="1"/>
  <c r="K1890" s="1"/>
  <c r="K1891" s="1"/>
  <c r="K1892" s="1"/>
  <c r="K1893" s="1"/>
  <c r="K1894" s="1"/>
  <c r="K1895" s="1"/>
  <c r="K1896" s="1"/>
  <c r="K1897" s="1"/>
  <c r="K1898" s="1"/>
  <c r="K1899" s="1"/>
  <c r="K1900" s="1"/>
  <c r="K1901" s="1"/>
  <c r="K1902" s="1"/>
  <c r="K1903" s="1"/>
  <c r="K1904" s="1"/>
  <c r="K1905" s="1"/>
  <c r="K1906" s="1"/>
  <c r="K1907" s="1"/>
  <c r="K1908" s="1"/>
  <c r="K1909" s="1"/>
  <c r="K1910" s="1"/>
  <c r="K1911" s="1"/>
  <c r="K1912" s="1"/>
  <c r="K1913" s="1"/>
  <c r="K1914" s="1"/>
  <c r="K1915" s="1"/>
  <c r="K1916" s="1"/>
  <c r="K1917" s="1"/>
  <c r="K1918" s="1"/>
  <c r="K1919" s="1"/>
  <c r="K1920" s="1"/>
  <c r="K1921" s="1"/>
  <c r="K1922" s="1"/>
  <c r="K1923" s="1"/>
  <c r="K1924" s="1"/>
  <c r="K1925" s="1"/>
  <c r="K1926" s="1"/>
  <c r="K1927" s="1"/>
  <c r="K1928" s="1"/>
  <c r="K1929" s="1"/>
  <c r="K1930" s="1"/>
  <c r="K1931" s="1"/>
  <c r="K1932" s="1"/>
  <c r="K1933" s="1"/>
  <c r="K1934" s="1"/>
  <c r="K1935" s="1"/>
  <c r="K1936" s="1"/>
  <c r="K1937" s="1"/>
  <c r="K1938" s="1"/>
  <c r="K1939" s="1"/>
  <c r="K1940" s="1"/>
  <c r="K1941" s="1"/>
  <c r="K1942" s="1"/>
  <c r="K1943" s="1"/>
  <c r="K1944" s="1"/>
  <c r="K1945" s="1"/>
  <c r="K1946" s="1"/>
  <c r="K1947" s="1"/>
  <c r="K1948" s="1"/>
  <c r="K1949" s="1"/>
  <c r="K1950" s="1"/>
  <c r="K1951" s="1"/>
  <c r="K1952" s="1"/>
  <c r="K1953" s="1"/>
  <c r="K1954" s="1"/>
  <c r="K1955" s="1"/>
  <c r="K1956" s="1"/>
  <c r="K1957" s="1"/>
  <c r="K1958" s="1"/>
  <c r="K1959" s="1"/>
  <c r="K1960" s="1"/>
  <c r="K1961" s="1"/>
  <c r="K1962" s="1"/>
  <c r="K1963" s="1"/>
  <c r="K1964" s="1"/>
  <c r="K1965" s="1"/>
  <c r="K1966" s="1"/>
  <c r="K1967" s="1"/>
  <c r="K1968" s="1"/>
  <c r="K1969" s="1"/>
  <c r="K1970" s="1"/>
  <c r="K1971" s="1"/>
  <c r="K1972" s="1"/>
  <c r="K1973" s="1"/>
  <c r="K1974" s="1"/>
  <c r="K1975" s="1"/>
  <c r="K1976" s="1"/>
  <c r="K1977" s="1"/>
  <c r="K1978" s="1"/>
  <c r="K1979" s="1"/>
  <c r="K1980" s="1"/>
  <c r="K1981" s="1"/>
  <c r="K1982" s="1"/>
  <c r="K1983" s="1"/>
  <c r="K1984" s="1"/>
  <c r="K1985" s="1"/>
  <c r="K1986" s="1"/>
  <c r="K1987" s="1"/>
  <c r="K1988" s="1"/>
  <c r="K1989" s="1"/>
  <c r="K1990" s="1"/>
  <c r="K1991" s="1"/>
  <c r="K1992" s="1"/>
  <c r="K1993" s="1"/>
  <c r="K1994" s="1"/>
  <c r="K1995" s="1"/>
  <c r="K1996" s="1"/>
  <c r="K1997" s="1"/>
  <c r="K1998" s="1"/>
  <c r="K1999" s="1"/>
  <c r="K2000" s="1"/>
  <c r="K2001" s="1"/>
  <c r="K2002" s="1"/>
  <c r="K2003" s="1"/>
  <c r="K2004" s="1"/>
  <c r="K2005" s="1"/>
  <c r="K2006" s="1"/>
  <c r="K2007" s="1"/>
  <c r="K2008" s="1"/>
  <c r="K2009" s="1"/>
  <c r="K2010" s="1"/>
  <c r="K2011" s="1"/>
  <c r="K2012" s="1"/>
  <c r="K2013" s="1"/>
  <c r="K2014" s="1"/>
  <c r="K2015" s="1"/>
  <c r="K2016" s="1"/>
  <c r="K2017" s="1"/>
  <c r="K2018" s="1"/>
  <c r="K2019" s="1"/>
  <c r="K2020" s="1"/>
  <c r="K2021" s="1"/>
  <c r="K2022" s="1"/>
  <c r="K2023" s="1"/>
  <c r="K2024" s="1"/>
  <c r="K2025" s="1"/>
  <c r="K2026" s="1"/>
  <c r="K2027" s="1"/>
  <c r="K2028" s="1"/>
  <c r="K2029" s="1"/>
  <c r="K2030" s="1"/>
  <c r="K2031" s="1"/>
  <c r="K2032" s="1"/>
  <c r="K2033" s="1"/>
  <c r="K2034" s="1"/>
  <c r="K2035" s="1"/>
  <c r="K2036" s="1"/>
  <c r="K2037" s="1"/>
  <c r="K2038" s="1"/>
  <c r="K2039" s="1"/>
  <c r="K2040" s="1"/>
  <c r="K2041" s="1"/>
  <c r="K2042" s="1"/>
  <c r="K2043" s="1"/>
  <c r="K2044" s="1"/>
  <c r="K2045" s="1"/>
  <c r="K2046" s="1"/>
  <c r="K2047" s="1"/>
  <c r="K2048" s="1"/>
  <c r="K2049" s="1"/>
  <c r="K2050" s="1"/>
  <c r="K2051" s="1"/>
  <c r="K2052" s="1"/>
  <c r="K2053" s="1"/>
  <c r="K2054" s="1"/>
  <c r="K2055" s="1"/>
  <c r="K2056" s="1"/>
  <c r="K2057" s="1"/>
  <c r="K2058" s="1"/>
  <c r="K2059" s="1"/>
  <c r="K2060" s="1"/>
  <c r="K2061" s="1"/>
  <c r="K2062" s="1"/>
  <c r="K2063" s="1"/>
  <c r="K2064" s="1"/>
  <c r="K2065" s="1"/>
  <c r="K2066" s="1"/>
  <c r="K2067" s="1"/>
  <c r="K2068" s="1"/>
  <c r="K2069" s="1"/>
  <c r="K2070" s="1"/>
  <c r="K2071" s="1"/>
  <c r="K2072" s="1"/>
  <c r="K2073" s="1"/>
  <c r="K2074" s="1"/>
  <c r="K2075" s="1"/>
  <c r="K2076" s="1"/>
  <c r="K2077" s="1"/>
  <c r="K2078" s="1"/>
  <c r="K2079" s="1"/>
  <c r="K2080" s="1"/>
  <c r="K2081" s="1"/>
  <c r="K2082" s="1"/>
  <c r="K2083" s="1"/>
  <c r="K2084" s="1"/>
  <c r="K2085" s="1"/>
  <c r="K2086" s="1"/>
  <c r="K2087" s="1"/>
  <c r="K2088" s="1"/>
  <c r="K2089" s="1"/>
  <c r="K2090" s="1"/>
  <c r="K2091" s="1"/>
  <c r="K2092" s="1"/>
  <c r="K2093" s="1"/>
  <c r="K2094" s="1"/>
  <c r="K2095" s="1"/>
  <c r="K2096" s="1"/>
  <c r="K2097" s="1"/>
  <c r="K2098" s="1"/>
  <c r="K2099" s="1"/>
  <c r="K2100" s="1"/>
  <c r="K2101" s="1"/>
  <c r="K2102" s="1"/>
  <c r="K2103" s="1"/>
  <c r="K2104" s="1"/>
  <c r="K2105" s="1"/>
  <c r="K2106" s="1"/>
  <c r="K2107" s="1"/>
  <c r="K2108" s="1"/>
  <c r="K2109" s="1"/>
  <c r="K2110" s="1"/>
  <c r="K2111" s="1"/>
  <c r="K2112" s="1"/>
  <c r="K2113" s="1"/>
  <c r="K2114" s="1"/>
  <c r="K2115" s="1"/>
  <c r="K2116" s="1"/>
  <c r="K2117" s="1"/>
  <c r="K2118" s="1"/>
  <c r="K2119" s="1"/>
  <c r="K2120" s="1"/>
  <c r="K2121" s="1"/>
  <c r="K2122" s="1"/>
  <c r="K2123" s="1"/>
  <c r="K2124" s="1"/>
  <c r="K2125" s="1"/>
  <c r="K2126" s="1"/>
  <c r="K2127" s="1"/>
  <c r="K2128" s="1"/>
  <c r="K2129" s="1"/>
  <c r="K2130" s="1"/>
  <c r="K2131" s="1"/>
  <c r="K2132" s="1"/>
  <c r="K2133" s="1"/>
  <c r="K2134" s="1"/>
  <c r="K2135" s="1"/>
  <c r="K2136" s="1"/>
  <c r="K2137" s="1"/>
  <c r="K2138" s="1"/>
  <c r="K2139" s="1"/>
  <c r="K2140" s="1"/>
  <c r="K2141" s="1"/>
  <c r="K2142" s="1"/>
  <c r="K2143" s="1"/>
  <c r="K2144" s="1"/>
  <c r="K2145" s="1"/>
  <c r="K2146" s="1"/>
  <c r="K2147" s="1"/>
  <c r="K2148" s="1"/>
  <c r="K2149" s="1"/>
  <c r="K2150" s="1"/>
  <c r="K2151" s="1"/>
  <c r="K2152" s="1"/>
  <c r="K2153" s="1"/>
  <c r="K2154" s="1"/>
  <c r="K2155" s="1"/>
  <c r="K2156" s="1"/>
  <c r="K2157" s="1"/>
  <c r="K2158" s="1"/>
  <c r="K2159" s="1"/>
  <c r="K2160" s="1"/>
  <c r="K2161" s="1"/>
  <c r="K2162" s="1"/>
  <c r="K2163" s="1"/>
  <c r="K2164" s="1"/>
  <c r="K2165" s="1"/>
  <c r="K2166" s="1"/>
  <c r="K2167" s="1"/>
  <c r="K2168" s="1"/>
  <c r="K2169" s="1"/>
  <c r="K2170" s="1"/>
  <c r="K2171" s="1"/>
  <c r="K2172" s="1"/>
  <c r="K2173" s="1"/>
  <c r="K2174" s="1"/>
  <c r="K2175" s="1"/>
  <c r="K2176" s="1"/>
  <c r="K2177" s="1"/>
  <c r="K2178" s="1"/>
  <c r="K2179" s="1"/>
  <c r="K2180" s="1"/>
  <c r="K2181" s="1"/>
  <c r="K2182" s="1"/>
  <c r="K2183" s="1"/>
  <c r="K2184" s="1"/>
  <c r="K2185" s="1"/>
  <c r="K2186" s="1"/>
  <c r="K2187" s="1"/>
  <c r="K2188" s="1"/>
  <c r="K2189" s="1"/>
  <c r="K2190" s="1"/>
  <c r="K2191" s="1"/>
  <c r="K2192" s="1"/>
  <c r="K2193" s="1"/>
  <c r="K2194" s="1"/>
  <c r="K2195" s="1"/>
  <c r="K2196" s="1"/>
  <c r="K2197" s="1"/>
  <c r="K2198" s="1"/>
  <c r="K2199" s="1"/>
  <c r="K2200" s="1"/>
  <c r="K2201" s="1"/>
  <c r="K2202" s="1"/>
  <c r="K2203" s="1"/>
  <c r="K2204" s="1"/>
  <c r="K2205" s="1"/>
  <c r="K2206" s="1"/>
  <c r="K2207" s="1"/>
  <c r="K2208" s="1"/>
  <c r="K2209" s="1"/>
  <c r="K2210" s="1"/>
  <c r="K2211" s="1"/>
  <c r="K2212" s="1"/>
  <c r="K2213" s="1"/>
  <c r="K2214" s="1"/>
  <c r="K2215" s="1"/>
  <c r="K2216" s="1"/>
  <c r="K2217" s="1"/>
  <c r="K2218" s="1"/>
  <c r="K2219" s="1"/>
  <c r="K2220" s="1"/>
  <c r="K2221" s="1"/>
  <c r="K2222" s="1"/>
  <c r="K2223" s="1"/>
  <c r="K2224" s="1"/>
  <c r="K2225" s="1"/>
  <c r="K2226" s="1"/>
  <c r="K2227" s="1"/>
  <c r="K2228" s="1"/>
  <c r="K2229" s="1"/>
  <c r="K2230" s="1"/>
  <c r="K2231" s="1"/>
  <c r="K2232" s="1"/>
  <c r="K2233" s="1"/>
  <c r="K2234" s="1"/>
  <c r="K2235" s="1"/>
  <c r="K2236" s="1"/>
  <c r="K2237" s="1"/>
  <c r="K2238" s="1"/>
  <c r="K2239" s="1"/>
  <c r="K2240" s="1"/>
  <c r="K2241" s="1"/>
  <c r="K2242" s="1"/>
  <c r="K2243" s="1"/>
  <c r="K2244" s="1"/>
  <c r="K2245" s="1"/>
  <c r="K2246" s="1"/>
  <c r="K2247" s="1"/>
  <c r="K2248" s="1"/>
  <c r="K2249" s="1"/>
  <c r="K2250" s="1"/>
  <c r="K2251" s="1"/>
  <c r="K2252" s="1"/>
  <c r="K2253" s="1"/>
  <c r="K2254" s="1"/>
  <c r="K2255" s="1"/>
  <c r="K2256" s="1"/>
  <c r="K2257" s="1"/>
  <c r="K2258" s="1"/>
  <c r="K2259" s="1"/>
  <c r="K2260" s="1"/>
  <c r="K2261" s="1"/>
  <c r="K2262" s="1"/>
  <c r="K2263" s="1"/>
  <c r="K2264" s="1"/>
  <c r="K2265" s="1"/>
  <c r="K2266" s="1"/>
  <c r="K2267" s="1"/>
  <c r="K2268" s="1"/>
  <c r="K2269" s="1"/>
  <c r="K2270" s="1"/>
  <c r="K2271" s="1"/>
  <c r="K2272" s="1"/>
  <c r="K2273" s="1"/>
  <c r="K2274" s="1"/>
  <c r="K2275" s="1"/>
  <c r="K2276" s="1"/>
  <c r="K2277" s="1"/>
  <c r="K2278" s="1"/>
  <c r="K2279" s="1"/>
  <c r="K2280" s="1"/>
  <c r="K2281" s="1"/>
  <c r="K2282" s="1"/>
  <c r="K2283" s="1"/>
  <c r="K2284" s="1"/>
  <c r="K2285" s="1"/>
  <c r="K2286" s="1"/>
  <c r="K2287" s="1"/>
  <c r="K2288" s="1"/>
  <c r="K2289" s="1"/>
  <c r="K2290" s="1"/>
  <c r="K2291" s="1"/>
  <c r="K2292" s="1"/>
  <c r="K2293" s="1"/>
  <c r="K2294" s="1"/>
  <c r="K2295" s="1"/>
  <c r="K2296" s="1"/>
  <c r="K2297" s="1"/>
  <c r="K2298" s="1"/>
  <c r="K2299" s="1"/>
  <c r="K2300" s="1"/>
  <c r="K2301" s="1"/>
  <c r="K2302" s="1"/>
  <c r="K2303" s="1"/>
  <c r="K2304" s="1"/>
  <c r="K2305" s="1"/>
  <c r="K2306" s="1"/>
  <c r="K2307" s="1"/>
  <c r="K2308" s="1"/>
  <c r="K2309" s="1"/>
  <c r="K2310" s="1"/>
  <c r="K2311" s="1"/>
  <c r="K2312" s="1"/>
  <c r="K2313" s="1"/>
  <c r="K2314" s="1"/>
  <c r="K2315" s="1"/>
  <c r="K2316" s="1"/>
  <c r="K2317" s="1"/>
  <c r="K2318" s="1"/>
  <c r="K2319" s="1"/>
  <c r="K2320" s="1"/>
  <c r="K2321" s="1"/>
  <c r="K2322" s="1"/>
  <c r="K2323" s="1"/>
  <c r="K2324" s="1"/>
  <c r="K2325" s="1"/>
  <c r="K2326" s="1"/>
  <c r="K2327" s="1"/>
  <c r="K2328" s="1"/>
  <c r="K2329" s="1"/>
  <c r="K2330" s="1"/>
  <c r="K2331" s="1"/>
  <c r="K2332" s="1"/>
  <c r="K2333" s="1"/>
  <c r="K2334" s="1"/>
  <c r="K2335" s="1"/>
  <c r="K2336" s="1"/>
  <c r="K2337" s="1"/>
  <c r="K2338" s="1"/>
  <c r="K2339" s="1"/>
  <c r="K2340" s="1"/>
  <c r="K2341" s="1"/>
  <c r="K2342" s="1"/>
  <c r="K2343" s="1"/>
  <c r="K2344" s="1"/>
  <c r="K2345" s="1"/>
  <c r="K2346" s="1"/>
  <c r="K2347" s="1"/>
  <c r="K2348" s="1"/>
  <c r="K2349" s="1"/>
  <c r="K2350" s="1"/>
  <c r="K2351" s="1"/>
  <c r="K2352" s="1"/>
  <c r="K2353" s="1"/>
  <c r="K2354" s="1"/>
  <c r="K2355" s="1"/>
  <c r="K2356" s="1"/>
  <c r="K2357" s="1"/>
  <c r="K2358" s="1"/>
  <c r="K2359" s="1"/>
  <c r="K2360" s="1"/>
  <c r="K2361" s="1"/>
  <c r="K2362" s="1"/>
  <c r="K2363" s="1"/>
  <c r="K2364" s="1"/>
  <c r="K2365" s="1"/>
  <c r="K2366" s="1"/>
  <c r="K2367" s="1"/>
  <c r="K2368" s="1"/>
  <c r="K2369" s="1"/>
  <c r="K2370" s="1"/>
  <c r="K2371" s="1"/>
  <c r="K2372" s="1"/>
  <c r="K2373" s="1"/>
  <c r="K2374" s="1"/>
  <c r="K2375" s="1"/>
  <c r="K2376" s="1"/>
  <c r="K2377" s="1"/>
  <c r="K2378" s="1"/>
  <c r="K2379" s="1"/>
  <c r="K2380" s="1"/>
  <c r="K2381" s="1"/>
  <c r="K2382" s="1"/>
  <c r="K2383" s="1"/>
  <c r="K2384" s="1"/>
  <c r="K2385" s="1"/>
  <c r="K2386" s="1"/>
  <c r="K2387" s="1"/>
  <c r="K2388" s="1"/>
  <c r="K2389" s="1"/>
  <c r="K2390" s="1"/>
  <c r="K2391" s="1"/>
  <c r="K2392" s="1"/>
  <c r="K2393" s="1"/>
  <c r="K2394" s="1"/>
  <c r="K2395" s="1"/>
  <c r="K2396" s="1"/>
  <c r="K2397" s="1"/>
  <c r="K2398" s="1"/>
  <c r="K2399" s="1"/>
  <c r="K2400" s="1"/>
  <c r="K2401" s="1"/>
  <c r="K2402" s="1"/>
  <c r="K2403" s="1"/>
  <c r="K2404" s="1"/>
  <c r="K2405" s="1"/>
  <c r="K2406" s="1"/>
  <c r="K2407" s="1"/>
  <c r="K2408" s="1"/>
  <c r="K2409" s="1"/>
  <c r="K2410" s="1"/>
  <c r="K2411" s="1"/>
  <c r="K2412" s="1"/>
  <c r="K2413" s="1"/>
  <c r="K2414" s="1"/>
  <c r="K2415" s="1"/>
  <c r="K2416" s="1"/>
  <c r="K2417" s="1"/>
  <c r="K2418" s="1"/>
  <c r="K2419" s="1"/>
  <c r="K2420" s="1"/>
  <c r="K2421" s="1"/>
  <c r="K2422" s="1"/>
  <c r="K2423" s="1"/>
  <c r="K2424" s="1"/>
  <c r="K2425" s="1"/>
  <c r="K2426" s="1"/>
  <c r="K2427" s="1"/>
  <c r="K2428" s="1"/>
  <c r="K2429" s="1"/>
  <c r="K2430" s="1"/>
  <c r="K2431" s="1"/>
  <c r="K2432" s="1"/>
  <c r="K2433" s="1"/>
  <c r="K2434" s="1"/>
  <c r="K2435" s="1"/>
  <c r="K2436" s="1"/>
  <c r="K2437" s="1"/>
  <c r="K2438" s="1"/>
  <c r="K2439" s="1"/>
  <c r="K2440" s="1"/>
  <c r="K2441" s="1"/>
  <c r="K2442" s="1"/>
  <c r="K2443" s="1"/>
  <c r="K2444" s="1"/>
  <c r="K2445" s="1"/>
  <c r="K2446" s="1"/>
  <c r="K2447" s="1"/>
  <c r="K2448" s="1"/>
  <c r="K2449" s="1"/>
  <c r="K2450" s="1"/>
  <c r="K2451" s="1"/>
  <c r="K2452" s="1"/>
  <c r="K2453" s="1"/>
  <c r="K2454" s="1"/>
  <c r="K2455" s="1"/>
  <c r="K2456" s="1"/>
  <c r="K2457" s="1"/>
  <c r="K2458" s="1"/>
  <c r="K2459" s="1"/>
  <c r="K2460" s="1"/>
  <c r="K2461" s="1"/>
  <c r="K2462" s="1"/>
  <c r="K2463" s="1"/>
  <c r="K2464" s="1"/>
  <c r="K2465" s="1"/>
  <c r="K2466" s="1"/>
  <c r="K2467" s="1"/>
  <c r="K2468" s="1"/>
  <c r="K2469" s="1"/>
  <c r="K2470" s="1"/>
  <c r="K2471" s="1"/>
  <c r="K2472" s="1"/>
  <c r="K2473" s="1"/>
  <c r="K2474" s="1"/>
  <c r="K2475" s="1"/>
  <c r="K2476" s="1"/>
  <c r="K2477" s="1"/>
  <c r="K2478" s="1"/>
  <c r="K2479" s="1"/>
  <c r="K2480" s="1"/>
  <c r="K2481" s="1"/>
  <c r="K2482" s="1"/>
  <c r="K2483" s="1"/>
  <c r="K2484" s="1"/>
  <c r="K2485" s="1"/>
  <c r="K2486" s="1"/>
  <c r="K2487" s="1"/>
  <c r="K2488" s="1"/>
  <c r="K2489" s="1"/>
  <c r="K2490" s="1"/>
  <c r="K2491" s="1"/>
  <c r="K2492" s="1"/>
  <c r="K2493" s="1"/>
  <c r="K2494" s="1"/>
  <c r="K2495" s="1"/>
  <c r="K2496" s="1"/>
  <c r="K2497" s="1"/>
  <c r="K2498" s="1"/>
  <c r="K2499" s="1"/>
  <c r="K2500" s="1"/>
  <c r="K2501" s="1"/>
  <c r="K2502" s="1"/>
  <c r="K2503" s="1"/>
  <c r="K2504" s="1"/>
  <c r="K2505" s="1"/>
  <c r="K2506" s="1"/>
  <c r="K2507" s="1"/>
  <c r="K2508" s="1"/>
  <c r="K2509" s="1"/>
  <c r="K2510" s="1"/>
  <c r="K2511" s="1"/>
  <c r="K2512" s="1"/>
  <c r="K2513" s="1"/>
  <c r="K2514" s="1"/>
  <c r="K2515" s="1"/>
  <c r="K2516" s="1"/>
  <c r="K2517" s="1"/>
  <c r="K2518" s="1"/>
  <c r="K2519" s="1"/>
  <c r="K2520" s="1"/>
  <c r="K2521" s="1"/>
  <c r="K2522" s="1"/>
  <c r="K2523" s="1"/>
  <c r="K2524" s="1"/>
  <c r="K2525" s="1"/>
  <c r="K2526" s="1"/>
  <c r="K2527" s="1"/>
  <c r="K2528" s="1"/>
  <c r="K2529" s="1"/>
  <c r="K2530" s="1"/>
  <c r="K2531" s="1"/>
  <c r="K2532" s="1"/>
  <c r="K2533" s="1"/>
  <c r="K2534" s="1"/>
  <c r="K2535" s="1"/>
  <c r="K2536" s="1"/>
  <c r="K2537" s="1"/>
  <c r="K2538" s="1"/>
  <c r="K2539" s="1"/>
  <c r="K2540" s="1"/>
  <c r="K2541" s="1"/>
  <c r="K2542" s="1"/>
  <c r="K2543" s="1"/>
  <c r="K2544" s="1"/>
  <c r="K2545" s="1"/>
  <c r="K2546" s="1"/>
  <c r="K2547" s="1"/>
  <c r="K2548" s="1"/>
  <c r="K2549" s="1"/>
  <c r="K2550" s="1"/>
  <c r="K2551" s="1"/>
  <c r="K2552" s="1"/>
  <c r="K2553" s="1"/>
  <c r="K2554" s="1"/>
  <c r="K2555" s="1"/>
  <c r="K2556" s="1"/>
  <c r="K2557" s="1"/>
  <c r="K2558" s="1"/>
  <c r="K2559" s="1"/>
  <c r="K2560" s="1"/>
  <c r="K2561" s="1"/>
  <c r="K2562" s="1"/>
  <c r="K2563" s="1"/>
  <c r="K2564" s="1"/>
  <c r="K2565" s="1"/>
  <c r="K2566" s="1"/>
  <c r="K2567" s="1"/>
  <c r="K2568" s="1"/>
  <c r="K2569" s="1"/>
  <c r="K2570" s="1"/>
  <c r="K2571" s="1"/>
  <c r="K2572" s="1"/>
  <c r="K2573" s="1"/>
  <c r="K2574" s="1"/>
  <c r="K2575" s="1"/>
  <c r="K2576" s="1"/>
  <c r="K2577" s="1"/>
  <c r="K2578" s="1"/>
  <c r="K2579" s="1"/>
  <c r="K2580" s="1"/>
  <c r="K2581" s="1"/>
  <c r="K2582" s="1"/>
  <c r="K2583" s="1"/>
  <c r="K2584" s="1"/>
  <c r="K2585" s="1"/>
  <c r="K2586" s="1"/>
  <c r="K2587" s="1"/>
  <c r="K2588" s="1"/>
  <c r="K2589" s="1"/>
  <c r="K2590" s="1"/>
  <c r="K2591" s="1"/>
  <c r="K2592" s="1"/>
  <c r="K2593" s="1"/>
  <c r="K2594" s="1"/>
  <c r="K2595" s="1"/>
  <c r="K2596" s="1"/>
  <c r="K2597" s="1"/>
  <c r="K2598" s="1"/>
  <c r="K2599" s="1"/>
  <c r="K2600" s="1"/>
  <c r="K2601" s="1"/>
  <c r="K2602" s="1"/>
  <c r="K2603" s="1"/>
  <c r="K2604" s="1"/>
  <c r="K2605" s="1"/>
  <c r="K2606" s="1"/>
  <c r="K2607" s="1"/>
  <c r="K2608" s="1"/>
  <c r="K2609" s="1"/>
  <c r="K2610" s="1"/>
  <c r="K2611" s="1"/>
  <c r="K2612" s="1"/>
  <c r="K2613" s="1"/>
  <c r="K2614" s="1"/>
  <c r="K2615" s="1"/>
  <c r="K2616" s="1"/>
  <c r="K2617" s="1"/>
  <c r="K2618" s="1"/>
  <c r="K2619" s="1"/>
  <c r="K2620" s="1"/>
  <c r="K2621" s="1"/>
  <c r="K2622" s="1"/>
  <c r="K2623" s="1"/>
  <c r="K2624" s="1"/>
  <c r="K2625" s="1"/>
  <c r="K2626" s="1"/>
  <c r="K2627" s="1"/>
  <c r="K2628" s="1"/>
  <c r="K2629" s="1"/>
  <c r="K2630" s="1"/>
  <c r="K2631" s="1"/>
  <c r="K2632" s="1"/>
  <c r="K2633" s="1"/>
  <c r="K2634" s="1"/>
  <c r="J2634"/>
  <c r="J2633"/>
  <c r="J2632"/>
  <c r="J2631"/>
  <c r="J2630"/>
  <c r="J2629"/>
  <c r="J2628"/>
  <c r="J2627"/>
  <c r="J2626"/>
  <c r="J2625"/>
  <c r="J2624"/>
  <c r="J2623"/>
  <c r="J2622"/>
  <c r="J2621"/>
  <c r="J2620"/>
  <c r="J2619"/>
  <c r="J2618"/>
  <c r="J2617"/>
  <c r="J2616"/>
  <c r="J2615"/>
  <c r="J2614"/>
  <c r="J2613"/>
  <c r="J2612"/>
  <c r="J2611"/>
  <c r="J2610"/>
  <c r="J2609"/>
  <c r="J2608"/>
  <c r="J2607"/>
  <c r="J2606"/>
  <c r="J2605"/>
  <c r="J2604"/>
  <c r="J2603"/>
  <c r="J2602"/>
  <c r="J2601"/>
  <c r="J2600"/>
  <c r="J2599"/>
  <c r="J2598"/>
  <c r="J2597"/>
  <c r="J2596"/>
  <c r="J2595"/>
  <c r="J2594"/>
  <c r="J2593"/>
  <c r="J2592"/>
  <c r="J2591"/>
  <c r="J2590"/>
  <c r="J2589"/>
  <c r="J2588"/>
  <c r="J2587"/>
  <c r="J2586"/>
  <c r="J2585"/>
  <c r="J2584"/>
  <c r="J2583"/>
  <c r="J2582"/>
  <c r="J2581"/>
  <c r="J2580"/>
  <c r="J2579"/>
  <c r="J2578"/>
  <c r="J2577"/>
  <c r="J2576"/>
  <c r="J2575"/>
  <c r="J2574"/>
  <c r="J2573"/>
  <c r="J2572"/>
  <c r="J2571"/>
  <c r="J2570"/>
  <c r="J2569"/>
  <c r="J2568"/>
  <c r="J2567"/>
  <c r="J2566"/>
  <c r="J2565"/>
  <c r="J2564"/>
  <c r="J2563"/>
  <c r="J2562"/>
  <c r="J2561"/>
  <c r="J2560"/>
  <c r="J2559"/>
  <c r="J2558"/>
  <c r="J2557"/>
  <c r="J2556"/>
  <c r="J2555"/>
  <c r="J2554"/>
  <c r="J2553"/>
  <c r="J2552"/>
  <c r="J2551"/>
  <c r="J2550"/>
  <c r="J2549"/>
  <c r="J2548"/>
  <c r="J2547"/>
  <c r="J2546"/>
  <c r="J2545"/>
  <c r="J2544"/>
  <c r="J2543"/>
  <c r="J2542"/>
  <c r="J2541"/>
  <c r="J2540"/>
  <c r="J2539"/>
  <c r="J2538"/>
  <c r="J2537"/>
  <c r="J2536"/>
  <c r="J2535"/>
  <c r="J2534"/>
  <c r="J2533"/>
  <c r="J2532"/>
  <c r="J2531"/>
  <c r="J2530"/>
  <c r="J2529"/>
  <c r="J2528"/>
  <c r="J2527"/>
  <c r="J2526"/>
  <c r="J2525"/>
  <c r="J2524"/>
  <c r="J2523"/>
  <c r="J2522"/>
  <c r="J2521"/>
  <c r="J2520"/>
  <c r="J2519"/>
  <c r="J2518"/>
  <c r="J2517"/>
  <c r="J2516"/>
  <c r="J2515"/>
  <c r="J2514"/>
  <c r="J2513"/>
  <c r="J2512"/>
  <c r="J2511"/>
  <c r="J2510"/>
  <c r="J2509"/>
  <c r="J2508"/>
  <c r="J2507"/>
  <c r="J2506"/>
  <c r="J2505"/>
  <c r="J2504"/>
  <c r="J2503"/>
  <c r="J2502"/>
  <c r="J2501"/>
  <c r="J2500"/>
  <c r="J2499"/>
  <c r="J2498"/>
  <c r="J2497"/>
  <c r="J2496"/>
  <c r="J2495"/>
  <c r="J2494"/>
  <c r="J2493"/>
  <c r="J2492"/>
  <c r="J2491"/>
  <c r="J2490"/>
  <c r="J2489"/>
  <c r="J2488"/>
  <c r="J2487"/>
  <c r="J2486"/>
  <c r="J2485"/>
  <c r="J2484"/>
  <c r="J2483"/>
  <c r="J2482"/>
  <c r="J2481"/>
  <c r="J2480"/>
  <c r="J2479"/>
  <c r="J2478"/>
  <c r="J2477"/>
  <c r="J2476"/>
  <c r="J2475"/>
  <c r="J2474"/>
  <c r="J2473"/>
  <c r="J2472"/>
  <c r="J2471"/>
  <c r="J2470"/>
  <c r="J2469"/>
  <c r="J2468"/>
  <c r="J2467"/>
  <c r="J2466"/>
  <c r="J2465"/>
  <c r="J2464"/>
  <c r="J2463"/>
  <c r="J2462"/>
  <c r="J2461"/>
  <c r="J2460"/>
  <c r="J2459"/>
  <c r="J2458"/>
  <c r="J2457"/>
  <c r="J2456"/>
  <c r="J2455"/>
  <c r="J2454"/>
  <c r="J2453"/>
  <c r="J2452"/>
  <c r="J2451"/>
  <c r="J2450"/>
  <c r="J2449"/>
  <c r="J2448"/>
  <c r="J2447"/>
  <c r="J2446"/>
  <c r="J2445"/>
  <c r="J2444"/>
  <c r="J2443"/>
  <c r="J2442"/>
  <c r="J2441"/>
  <c r="J2440"/>
  <c r="J2439"/>
  <c r="J2438"/>
  <c r="J2437"/>
  <c r="J2436"/>
  <c r="J2435"/>
  <c r="J2434"/>
  <c r="J2433"/>
  <c r="J2432"/>
  <c r="J2431"/>
  <c r="J2430"/>
  <c r="J2429"/>
  <c r="J2428"/>
  <c r="J2427"/>
  <c r="J2426"/>
  <c r="J2425"/>
  <c r="J2424"/>
  <c r="J2423"/>
  <c r="J2422"/>
  <c r="J2421"/>
  <c r="J2420"/>
  <c r="J2419"/>
  <c r="J2418"/>
  <c r="J2417"/>
  <c r="J2416"/>
  <c r="J2415"/>
  <c r="J2414"/>
  <c r="J2413"/>
  <c r="J2412"/>
  <c r="J2411"/>
  <c r="J2410"/>
  <c r="J2409"/>
  <c r="J2408"/>
  <c r="J2407"/>
  <c r="J2406"/>
  <c r="J2405"/>
  <c r="J2404"/>
  <c r="J2403"/>
  <c r="J2402"/>
  <c r="J2401"/>
  <c r="J2400"/>
  <c r="J2399"/>
  <c r="J2398"/>
  <c r="J2397"/>
  <c r="J2396"/>
  <c r="J2395"/>
  <c r="J2394"/>
  <c r="J2393"/>
  <c r="J2392"/>
  <c r="J2391"/>
  <c r="J2390"/>
  <c r="J2389"/>
  <c r="J2388"/>
  <c r="J2387"/>
  <c r="J2386"/>
  <c r="J2385"/>
  <c r="J2384"/>
  <c r="J2383"/>
  <c r="J2382"/>
  <c r="J2381"/>
  <c r="J2380"/>
  <c r="J2379"/>
  <c r="J2378"/>
  <c r="J2377"/>
  <c r="J2376"/>
  <c r="J2375"/>
  <c r="J2374"/>
  <c r="J2373"/>
  <c r="J2372"/>
  <c r="J2371"/>
  <c r="J2370"/>
  <c r="J2369"/>
  <c r="J2368"/>
  <c r="J2367"/>
  <c r="J2366"/>
  <c r="J2365"/>
  <c r="J2364"/>
  <c r="J2363"/>
  <c r="J2362"/>
  <c r="J2361"/>
  <c r="J2360"/>
  <c r="J2359"/>
  <c r="J2358"/>
  <c r="J2357"/>
  <c r="J2356"/>
  <c r="J2355"/>
  <c r="J2354"/>
  <c r="J2353"/>
  <c r="J2352"/>
  <c r="J2351"/>
  <c r="J2350"/>
  <c r="J2349"/>
  <c r="J2348"/>
  <c r="J2347"/>
  <c r="J2346"/>
  <c r="J2345"/>
  <c r="J2344"/>
  <c r="J2343"/>
  <c r="J2342"/>
  <c r="J2341"/>
  <c r="J2340"/>
  <c r="J2339"/>
  <c r="J2338"/>
  <c r="J2337"/>
  <c r="J2336"/>
  <c r="J2335"/>
  <c r="J2334"/>
  <c r="J2333"/>
  <c r="J2332"/>
  <c r="J2331"/>
  <c r="J2330"/>
  <c r="J2329"/>
  <c r="J2328"/>
  <c r="J2327"/>
  <c r="J2326"/>
  <c r="J2325"/>
  <c r="J2324"/>
  <c r="J2323"/>
  <c r="J2322"/>
  <c r="J2321"/>
  <c r="J2320"/>
  <c r="J2319"/>
  <c r="J2318"/>
  <c r="J2317"/>
  <c r="J2316"/>
  <c r="J2315"/>
  <c r="J2314"/>
  <c r="J2313"/>
  <c r="J2312"/>
  <c r="J2311"/>
  <c r="J2310"/>
  <c r="J2309"/>
  <c r="J2308"/>
  <c r="J2307"/>
  <c r="J2306"/>
  <c r="J2305"/>
  <c r="J2304"/>
  <c r="J2303"/>
  <c r="J2302"/>
  <c r="J2301"/>
  <c r="J2300"/>
  <c r="J2299"/>
  <c r="J2298"/>
  <c r="J2297"/>
  <c r="J2296"/>
  <c r="J2295"/>
  <c r="J2294"/>
  <c r="J2293"/>
  <c r="J2292"/>
  <c r="J2291"/>
  <c r="J2290"/>
  <c r="J2289"/>
  <c r="J2288"/>
  <c r="J2287"/>
  <c r="J2286"/>
  <c r="J2285"/>
  <c r="J2284"/>
  <c r="J2283"/>
  <c r="J2282"/>
  <c r="J2281"/>
  <c r="J2280"/>
  <c r="J2279"/>
  <c r="J2278"/>
  <c r="J2277"/>
  <c r="J2276"/>
  <c r="J2275"/>
  <c r="J2274"/>
  <c r="J2273"/>
  <c r="J2272"/>
  <c r="J2271"/>
  <c r="J2270"/>
  <c r="J2269"/>
  <c r="J2268"/>
  <c r="J2267"/>
  <c r="J2266"/>
  <c r="J2265"/>
  <c r="J2264"/>
  <c r="J2263"/>
  <c r="J2262"/>
  <c r="J2261"/>
  <c r="J2260"/>
  <c r="J2259"/>
  <c r="J2258"/>
  <c r="J2257"/>
  <c r="J2256"/>
  <c r="J2255"/>
  <c r="J2254"/>
  <c r="J2253"/>
  <c r="J2252"/>
  <c r="J2251"/>
  <c r="J2250"/>
  <c r="J2249"/>
  <c r="J2248"/>
  <c r="J2247"/>
  <c r="J2246"/>
  <c r="J2245"/>
  <c r="J2244"/>
  <c r="J2243"/>
  <c r="J2242"/>
  <c r="J2241"/>
  <c r="J2240"/>
  <c r="J2239"/>
  <c r="J2238"/>
  <c r="J2237"/>
  <c r="J2236"/>
  <c r="J2235"/>
  <c r="J2234"/>
  <c r="J2233"/>
  <c r="J2232"/>
  <c r="J2231"/>
  <c r="J2230"/>
  <c r="J2229"/>
  <c r="J2228"/>
  <c r="J2227"/>
  <c r="J2226"/>
  <c r="J2225"/>
  <c r="J2224"/>
  <c r="J2223"/>
  <c r="J2222"/>
  <c r="J2221"/>
  <c r="J2220"/>
  <c r="J2219"/>
  <c r="J2218"/>
  <c r="J2217"/>
  <c r="J2216"/>
  <c r="J2215"/>
  <c r="J2214"/>
  <c r="J2213"/>
  <c r="J2212"/>
  <c r="J2211"/>
  <c r="J2210"/>
  <c r="J2209"/>
  <c r="J2208"/>
  <c r="J2207"/>
  <c r="J2206"/>
  <c r="J2205"/>
  <c r="J2204"/>
  <c r="J2203"/>
  <c r="J2202"/>
  <c r="J2201"/>
  <c r="J2200"/>
  <c r="J2199"/>
  <c r="J2198"/>
  <c r="J2197"/>
  <c r="J2196"/>
  <c r="J2195"/>
  <c r="J2194"/>
  <c r="J2193"/>
  <c r="J2192"/>
  <c r="J2191"/>
  <c r="J2190"/>
  <c r="J2189"/>
  <c r="J2188"/>
  <c r="J2187"/>
  <c r="J2186"/>
  <c r="J2185"/>
  <c r="J2184"/>
  <c r="J2183"/>
  <c r="J2182"/>
  <c r="J2181"/>
  <c r="J2180"/>
  <c r="J2179"/>
  <c r="J2178"/>
  <c r="J2177"/>
  <c r="J2176"/>
  <c r="J2175"/>
  <c r="J2174"/>
  <c r="J2173"/>
  <c r="J2172"/>
  <c r="J2171"/>
  <c r="J2170"/>
  <c r="J2169"/>
  <c r="J2168"/>
  <c r="J2167"/>
  <c r="J2166"/>
  <c r="J2165"/>
  <c r="J2164"/>
  <c r="J2163"/>
  <c r="J2162"/>
  <c r="J2161"/>
  <c r="J2160"/>
  <c r="J2159"/>
  <c r="J2158"/>
  <c r="J2157"/>
  <c r="J2156"/>
  <c r="J2155"/>
  <c r="J2154"/>
  <c r="J2153"/>
  <c r="J2152"/>
  <c r="J2151"/>
  <c r="J2150"/>
  <c r="J2149"/>
  <c r="J2148"/>
  <c r="J2147"/>
  <c r="J2146"/>
  <c r="J2145"/>
  <c r="J2144"/>
  <c r="J2143"/>
  <c r="J2142"/>
  <c r="J2141"/>
  <c r="J2140"/>
  <c r="J2139"/>
  <c r="J2138"/>
  <c r="J2137"/>
  <c r="J2136"/>
  <c r="J2135"/>
  <c r="J2134"/>
  <c r="J2133"/>
  <c r="J2132"/>
  <c r="J2131"/>
  <c r="J2130"/>
  <c r="J2129"/>
  <c r="J2128"/>
  <c r="J2127"/>
  <c r="J2126"/>
  <c r="J2125"/>
  <c r="J2124"/>
  <c r="J2123"/>
  <c r="J2122"/>
  <c r="J2121"/>
  <c r="J2120"/>
  <c r="J2119"/>
  <c r="J2118"/>
  <c r="J2117"/>
  <c r="J2116"/>
  <c r="J2115"/>
  <c r="J2114"/>
  <c r="J2113"/>
  <c r="J2112"/>
  <c r="J2111"/>
  <c r="J2110"/>
  <c r="J2109"/>
  <c r="J2108"/>
  <c r="J2107"/>
  <c r="J2106"/>
  <c r="J2105"/>
  <c r="J2104"/>
  <c r="J2103"/>
  <c r="J2102"/>
  <c r="J2101"/>
  <c r="J2100"/>
  <c r="J2099"/>
  <c r="J2098"/>
  <c r="J2097"/>
  <c r="J2096"/>
  <c r="J2095"/>
  <c r="J2094"/>
  <c r="J2093"/>
  <c r="J2092"/>
  <c r="J2091"/>
  <c r="J2090"/>
  <c r="J2089"/>
  <c r="J2088"/>
  <c r="J2087"/>
  <c r="J2086"/>
  <c r="J2085"/>
  <c r="J2084"/>
  <c r="J2083"/>
  <c r="J2082"/>
  <c r="J2081"/>
  <c r="J2080"/>
  <c r="J2079"/>
  <c r="J2078"/>
  <c r="J2077"/>
  <c r="J2076"/>
  <c r="J2075"/>
  <c r="J2074"/>
  <c r="J2073"/>
  <c r="J2072"/>
  <c r="J2071"/>
  <c r="J2070"/>
  <c r="J2069"/>
  <c r="J2068"/>
  <c r="J2067"/>
  <c r="J2066"/>
  <c r="J2065"/>
  <c r="J2064"/>
  <c r="J2063"/>
  <c r="J2062"/>
  <c r="J2061"/>
  <c r="J2060"/>
  <c r="J2059"/>
  <c r="J2058"/>
  <c r="J2057"/>
  <c r="J2056"/>
  <c r="J2055"/>
  <c r="J2054"/>
  <c r="J2053"/>
  <c r="J2052"/>
  <c r="J2051"/>
  <c r="J2050"/>
  <c r="J2049"/>
  <c r="J2048"/>
  <c r="J2047"/>
  <c r="J2046"/>
  <c r="J2045"/>
  <c r="J2044"/>
  <c r="J2043"/>
  <c r="J2042"/>
  <c r="J2041"/>
  <c r="J2040"/>
  <c r="J2039"/>
  <c r="J2038"/>
  <c r="J2037"/>
  <c r="J2036"/>
  <c r="J2035"/>
  <c r="J2034"/>
  <c r="J2033"/>
  <c r="J2032"/>
  <c r="J2031"/>
  <c r="J2030"/>
  <c r="J2029"/>
  <c r="J2028"/>
  <c r="J2027"/>
  <c r="J2026"/>
  <c r="J2025"/>
  <c r="J2024"/>
  <c r="J2023"/>
  <c r="J2022"/>
  <c r="J2021"/>
  <c r="J2020"/>
  <c r="J2019"/>
  <c r="J2018"/>
  <c r="J2017"/>
  <c r="J2016"/>
  <c r="J2015"/>
  <c r="J2014"/>
  <c r="J2013"/>
  <c r="J2012"/>
  <c r="J2011"/>
  <c r="J2010"/>
  <c r="J2009"/>
  <c r="J2008"/>
  <c r="J2007"/>
  <c r="J2006"/>
  <c r="J2005"/>
  <c r="J2004"/>
  <c r="J2003"/>
  <c r="J2002"/>
  <c r="J2001"/>
  <c r="J2000"/>
  <c r="J1999"/>
  <c r="J1998"/>
  <c r="J1997"/>
  <c r="J1996"/>
  <c r="J1995"/>
  <c r="J1994"/>
  <c r="J1993"/>
  <c r="J1992"/>
  <c r="J1991"/>
  <c r="J1990"/>
  <c r="J1989"/>
  <c r="J1988"/>
  <c r="J1987"/>
  <c r="J1986"/>
  <c r="J1985"/>
  <c r="J1984"/>
  <c r="J1983"/>
  <c r="J1982"/>
  <c r="J1981"/>
  <c r="J1980"/>
  <c r="J1979"/>
  <c r="J1978"/>
  <c r="J1977"/>
  <c r="J1976"/>
  <c r="J1975"/>
  <c r="J1974"/>
  <c r="J1973"/>
  <c r="J1972"/>
  <c r="J1971"/>
  <c r="J1970"/>
  <c r="J1969"/>
  <c r="J1968"/>
  <c r="J1967"/>
  <c r="J1966"/>
  <c r="J1965"/>
  <c r="J1964"/>
  <c r="J1963"/>
  <c r="J1962"/>
  <c r="J1961"/>
  <c r="J1960"/>
  <c r="J1959"/>
  <c r="J1958"/>
  <c r="J1957"/>
  <c r="J1956"/>
  <c r="J1955"/>
  <c r="J1954"/>
  <c r="J1953"/>
  <c r="J1952"/>
  <c r="J1951"/>
  <c r="J1950"/>
  <c r="J1949"/>
  <c r="J1948"/>
  <c r="J1947"/>
  <c r="J1946"/>
  <c r="J1945"/>
  <c r="J1944"/>
  <c r="J1943"/>
  <c r="J1942"/>
  <c r="J1941"/>
  <c r="J1940"/>
  <c r="J1939"/>
  <c r="J1938"/>
  <c r="J1937"/>
  <c r="J1936"/>
  <c r="J1935"/>
  <c r="J1934"/>
  <c r="J1933"/>
  <c r="J1932"/>
  <c r="J1931"/>
  <c r="J1930"/>
  <c r="J1929"/>
  <c r="J1928"/>
  <c r="J1927"/>
  <c r="J1926"/>
  <c r="J1925"/>
  <c r="J1924"/>
  <c r="J1923"/>
  <c r="J1922"/>
  <c r="J1921"/>
  <c r="J1920"/>
  <c r="J1919"/>
  <c r="J1918"/>
  <c r="J1917"/>
  <c r="J1916"/>
  <c r="J1915"/>
  <c r="J1914"/>
  <c r="J1913"/>
  <c r="J1912"/>
  <c r="J1911"/>
  <c r="J1910"/>
  <c r="J1909"/>
  <c r="J1908"/>
  <c r="J1907"/>
  <c r="J1906"/>
  <c r="J1905"/>
  <c r="J1904"/>
  <c r="J1903"/>
  <c r="J1902"/>
  <c r="J1901"/>
  <c r="J1900"/>
  <c r="J1899"/>
  <c r="J1898"/>
  <c r="J1897"/>
  <c r="J1896"/>
  <c r="J1895"/>
  <c r="J1894"/>
  <c r="J1893"/>
  <c r="J1892"/>
  <c r="J1891"/>
  <c r="J1890"/>
  <c r="J1889"/>
  <c r="J1888"/>
  <c r="J1887"/>
  <c r="J1886"/>
  <c r="J1885"/>
  <c r="J1884"/>
  <c r="J1883"/>
  <c r="J1882"/>
  <c r="J1881"/>
  <c r="J1880"/>
  <c r="J1879"/>
  <c r="J1878"/>
  <c r="J1877"/>
  <c r="J1876"/>
  <c r="J1875"/>
  <c r="J1874"/>
  <c r="J1873"/>
  <c r="J1872"/>
  <c r="J1871"/>
  <c r="J1870"/>
  <c r="J1869"/>
  <c r="J1868"/>
  <c r="J1867"/>
  <c r="J1866"/>
  <c r="J1865"/>
  <c r="J1864"/>
  <c r="J1863"/>
  <c r="J1862"/>
  <c r="J1861"/>
  <c r="J1860"/>
  <c r="J1859"/>
  <c r="J1858"/>
  <c r="J1857"/>
  <c r="J1856"/>
  <c r="J1855"/>
  <c r="J1854"/>
  <c r="J1853"/>
  <c r="J1852"/>
  <c r="J1851"/>
  <c r="J1850"/>
  <c r="J1849"/>
  <c r="J1848"/>
  <c r="J1847"/>
  <c r="J1846"/>
  <c r="J1845"/>
  <c r="J1844"/>
  <c r="J1843"/>
  <c r="J1842"/>
  <c r="J1841"/>
  <c r="J1840"/>
  <c r="J1839"/>
  <c r="J1838"/>
  <c r="J1837"/>
  <c r="J1836"/>
  <c r="J1835"/>
  <c r="J1834"/>
  <c r="J1833"/>
  <c r="J1832"/>
  <c r="J1831"/>
  <c r="J1830"/>
  <c r="J1829"/>
  <c r="J1828"/>
  <c r="J1827"/>
  <c r="J1826"/>
  <c r="J1825"/>
  <c r="J1824"/>
  <c r="J1823"/>
  <c r="J1822"/>
  <c r="J1821"/>
  <c r="J1820"/>
  <c r="J1819"/>
  <c r="J1818"/>
  <c r="J1817"/>
  <c r="J1816"/>
  <c r="J1815"/>
  <c r="J1814"/>
  <c r="J1813"/>
  <c r="J1812"/>
  <c r="J1811"/>
  <c r="J1810"/>
  <c r="J1809"/>
  <c r="J1808"/>
  <c r="J1807"/>
  <c r="J1806"/>
  <c r="J1805"/>
  <c r="J1804"/>
  <c r="J1803"/>
  <c r="J1802"/>
  <c r="J1801"/>
  <c r="J1800"/>
  <c r="J1799"/>
  <c r="J1798"/>
  <c r="J1797"/>
  <c r="J1796"/>
  <c r="J1795"/>
  <c r="J1794"/>
  <c r="J1793"/>
  <c r="J1792"/>
  <c r="J1791"/>
  <c r="J1790"/>
  <c r="J1789"/>
  <c r="J1788"/>
  <c r="J1787"/>
  <c r="J1786"/>
  <c r="J1785"/>
  <c r="J1784"/>
  <c r="J1783"/>
  <c r="J1782"/>
  <c r="J1781"/>
  <c r="J1780"/>
  <c r="J1779"/>
  <c r="J1778"/>
  <c r="J1777"/>
  <c r="J1776"/>
  <c r="J1775"/>
  <c r="J1774"/>
  <c r="J1773"/>
  <c r="J1772"/>
  <c r="J1771"/>
  <c r="J1770"/>
  <c r="J1769"/>
  <c r="J1768"/>
  <c r="J1767"/>
  <c r="J1766"/>
  <c r="J1765"/>
  <c r="J1764"/>
  <c r="J1763"/>
  <c r="J1762"/>
  <c r="J1761"/>
  <c r="J1760"/>
  <c r="J1759"/>
  <c r="J1758"/>
  <c r="J1757"/>
  <c r="J1756"/>
  <c r="J1755"/>
  <c r="J1754"/>
  <c r="J1753"/>
  <c r="J1752"/>
  <c r="J1751"/>
  <c r="J1750"/>
  <c r="J1749"/>
  <c r="J1748"/>
  <c r="J1747"/>
  <c r="J1746"/>
  <c r="J1745"/>
  <c r="J1744"/>
  <c r="J1743"/>
  <c r="J1742"/>
  <c r="J1741"/>
  <c r="J1740"/>
  <c r="J1739"/>
  <c r="J1738"/>
  <c r="J1737"/>
  <c r="J1736"/>
  <c r="J1735"/>
  <c r="J1734"/>
  <c r="J1733"/>
  <c r="J1732"/>
  <c r="J1731"/>
  <c r="J1730"/>
  <c r="J1729"/>
  <c r="J1728"/>
  <c r="J1727"/>
  <c r="J1726"/>
  <c r="J1725"/>
  <c r="J1724"/>
  <c r="J1723"/>
  <c r="J1722"/>
  <c r="J1721"/>
  <c r="J1720"/>
  <c r="J1719"/>
  <c r="J1718"/>
  <c r="J1717"/>
  <c r="J1716"/>
  <c r="J1715"/>
  <c r="J1714"/>
  <c r="J1713"/>
  <c r="J1712"/>
  <c r="J1711"/>
  <c r="J1710"/>
  <c r="J1709"/>
  <c r="J1708"/>
  <c r="J1707"/>
  <c r="J1706"/>
  <c r="J1705"/>
  <c r="J1704"/>
  <c r="J1703"/>
  <c r="J1702"/>
  <c r="J1701"/>
  <c r="J1700"/>
  <c r="J1699"/>
  <c r="J1698"/>
  <c r="J1697"/>
  <c r="J1696"/>
  <c r="J1695"/>
  <c r="J1694"/>
  <c r="J1693"/>
  <c r="J1692"/>
  <c r="J1691"/>
  <c r="J1690"/>
  <c r="J1689"/>
  <c r="J1688"/>
  <c r="J1687"/>
  <c r="J1686"/>
  <c r="J1685"/>
  <c r="J1684"/>
  <c r="J1683"/>
  <c r="J1682"/>
  <c r="J1681"/>
  <c r="J1680"/>
  <c r="J1679"/>
  <c r="J1678"/>
  <c r="J1677"/>
  <c r="J1676"/>
  <c r="J1675"/>
  <c r="J1674"/>
  <c r="J1673"/>
  <c r="J1672"/>
  <c r="J1671"/>
  <c r="J1670"/>
  <c r="J1669"/>
  <c r="J1668"/>
  <c r="J1667"/>
  <c r="J1666"/>
  <c r="J1665"/>
  <c r="J1664"/>
  <c r="J1663"/>
  <c r="J1662"/>
  <c r="J1661"/>
  <c r="J1660"/>
  <c r="J1659"/>
  <c r="J1658"/>
  <c r="J1657"/>
  <c r="J1656"/>
  <c r="J1655"/>
  <c r="J1654"/>
  <c r="J1653"/>
  <c r="J1652"/>
  <c r="J1651"/>
  <c r="J1650"/>
  <c r="J1649"/>
  <c r="J1648"/>
  <c r="J1647"/>
  <c r="J1646"/>
  <c r="J1645"/>
  <c r="J1644"/>
  <c r="J1643"/>
  <c r="J1642"/>
  <c r="J1641"/>
  <c r="J1640"/>
  <c r="J1639"/>
  <c r="J1638"/>
  <c r="J1637"/>
  <c r="J1636"/>
  <c r="J1635"/>
  <c r="J1634"/>
  <c r="J1633"/>
  <c r="J1632"/>
  <c r="J1631"/>
  <c r="J1630"/>
  <c r="J1629"/>
  <c r="J1628"/>
  <c r="J1627"/>
  <c r="J1626"/>
  <c r="J1625"/>
  <c r="J1624"/>
  <c r="J1623"/>
  <c r="J1622"/>
  <c r="J1621"/>
  <c r="J1620"/>
  <c r="J1619"/>
  <c r="J1618"/>
  <c r="J1617"/>
  <c r="J1616"/>
  <c r="J1615"/>
  <c r="J1614"/>
  <c r="J1613"/>
  <c r="J1612"/>
  <c r="J1611"/>
  <c r="J1610"/>
  <c r="J1609"/>
  <c r="J1608"/>
  <c r="J1607"/>
  <c r="J1606"/>
  <c r="J1605"/>
  <c r="J1604"/>
  <c r="J1603"/>
  <c r="J1602"/>
  <c r="J1601"/>
  <c r="J1600"/>
  <c r="J1599"/>
  <c r="J1598"/>
  <c r="J1597"/>
  <c r="J1596"/>
  <c r="J1595"/>
  <c r="J1594"/>
  <c r="J1593"/>
  <c r="J1592"/>
  <c r="J1591"/>
  <c r="J1590"/>
  <c r="J1589"/>
  <c r="J1588"/>
  <c r="J1587"/>
  <c r="J1586"/>
  <c r="J1585"/>
  <c r="J1584"/>
  <c r="J1583"/>
  <c r="J1582"/>
  <c r="J1581"/>
  <c r="J1580"/>
  <c r="J1579"/>
  <c r="J1578"/>
  <c r="J1577"/>
  <c r="J1576"/>
  <c r="J1575"/>
  <c r="J1574"/>
  <c r="J1573"/>
  <c r="J1572"/>
  <c r="J1571"/>
  <c r="J1570"/>
  <c r="J1569"/>
  <c r="J1568"/>
  <c r="J1567"/>
  <c r="J1566"/>
  <c r="J1565"/>
  <c r="J1564"/>
  <c r="J1563"/>
  <c r="J1562"/>
  <c r="J1561"/>
  <c r="J1560"/>
  <c r="J1559"/>
  <c r="J1558"/>
  <c r="J1557"/>
  <c r="J1556"/>
  <c r="J1555"/>
  <c r="J1554"/>
  <c r="J1553"/>
  <c r="J1552"/>
  <c r="J1551"/>
  <c r="J1550"/>
  <c r="J1549"/>
  <c r="J1548"/>
  <c r="J1547"/>
  <c r="J1546"/>
  <c r="J1545"/>
  <c r="J1544"/>
  <c r="J1543"/>
  <c r="J1542"/>
  <c r="J1541"/>
  <c r="J1540"/>
  <c r="J1539"/>
  <c r="J1538"/>
  <c r="J1537"/>
  <c r="J1536"/>
  <c r="J1535"/>
  <c r="J1534"/>
  <c r="J1533"/>
  <c r="J1532"/>
  <c r="J1531"/>
  <c r="J1530"/>
  <c r="J1529"/>
  <c r="J1528"/>
  <c r="J1527"/>
  <c r="J1526"/>
  <c r="J1525"/>
  <c r="J1524"/>
  <c r="J1523"/>
  <c r="J1522"/>
  <c r="J1521"/>
  <c r="J1520"/>
  <c r="J1519"/>
  <c r="J1518"/>
  <c r="J1517"/>
  <c r="J1516"/>
  <c r="J1515"/>
  <c r="J1514"/>
  <c r="J1513"/>
  <c r="J1512"/>
  <c r="J1511"/>
  <c r="J1510"/>
  <c r="J1509"/>
  <c r="J1508"/>
  <c r="J1507"/>
  <c r="J1506"/>
  <c r="J1505"/>
  <c r="J1504"/>
  <c r="J1503"/>
  <c r="J1502"/>
  <c r="J1501"/>
  <c r="J1500"/>
  <c r="J1499"/>
  <c r="J1498"/>
  <c r="J1497"/>
  <c r="J1496"/>
  <c r="J1495"/>
  <c r="J1494"/>
  <c r="J1493"/>
  <c r="J1492"/>
  <c r="J1491"/>
  <c r="J1490"/>
  <c r="J1489"/>
  <c r="J1488"/>
  <c r="J1487"/>
  <c r="J1486"/>
  <c r="J1485"/>
  <c r="J1484"/>
  <c r="J1483"/>
  <c r="J1482"/>
  <c r="J1481"/>
  <c r="J1480"/>
  <c r="J1479"/>
  <c r="J1478"/>
  <c r="J1477"/>
  <c r="J1476"/>
  <c r="J1475"/>
  <c r="J1474"/>
  <c r="J1473"/>
  <c r="J1472"/>
  <c r="J1471"/>
  <c r="J1470"/>
  <c r="J1469"/>
  <c r="J1468"/>
  <c r="J1467"/>
  <c r="J1466"/>
  <c r="J1465"/>
  <c r="J1464"/>
  <c r="J1463"/>
  <c r="J1462"/>
  <c r="J1461"/>
  <c r="J1460"/>
  <c r="J1459"/>
  <c r="J1458"/>
  <c r="J1457"/>
  <c r="J1456"/>
  <c r="J1455"/>
  <c r="J1454"/>
  <c r="J1453"/>
  <c r="J1452"/>
  <c r="J1451"/>
  <c r="J1450"/>
  <c r="J1449"/>
  <c r="J1448"/>
  <c r="J1447"/>
  <c r="J1446"/>
  <c r="J1445"/>
  <c r="J1444"/>
  <c r="J1443"/>
  <c r="J1442"/>
  <c r="J1441"/>
  <c r="J1440"/>
  <c r="J1439"/>
  <c r="J1438"/>
  <c r="J1437"/>
  <c r="J1436"/>
  <c r="J1435"/>
  <c r="J1434"/>
  <c r="J1433"/>
  <c r="J1432"/>
  <c r="J1431"/>
  <c r="J1430"/>
  <c r="J1429"/>
  <c r="J1428"/>
  <c r="J1427"/>
  <c r="J1426"/>
  <c r="J1425"/>
  <c r="J1424"/>
  <c r="J1423"/>
  <c r="J1422"/>
  <c r="J1421"/>
  <c r="J1420"/>
  <c r="J1419"/>
  <c r="J1418"/>
  <c r="J1417"/>
  <c r="J1416"/>
  <c r="J1415"/>
  <c r="J1414"/>
  <c r="J1413"/>
  <c r="J1412"/>
  <c r="J1411"/>
  <c r="J1410"/>
  <c r="J1409"/>
  <c r="J1408"/>
  <c r="J1407"/>
  <c r="J1406"/>
  <c r="J1405"/>
  <c r="J1404"/>
  <c r="J1403"/>
  <c r="J1402"/>
  <c r="J1401"/>
  <c r="J1400"/>
  <c r="J1399"/>
  <c r="J1398"/>
  <c r="J1397"/>
  <c r="J1396"/>
  <c r="J1395"/>
  <c r="J1394"/>
  <c r="J1393"/>
  <c r="J1392"/>
  <c r="J1391"/>
  <c r="J1390"/>
  <c r="J1389"/>
  <c r="J1388"/>
  <c r="J1387"/>
  <c r="J1386"/>
  <c r="J1385"/>
  <c r="J1384"/>
  <c r="J1383"/>
  <c r="J1382"/>
  <c r="J1381"/>
  <c r="J1380"/>
  <c r="J1379"/>
  <c r="J1378"/>
  <c r="J1377"/>
  <c r="J1376"/>
  <c r="J1375"/>
  <c r="J1374"/>
  <c r="J1373"/>
  <c r="J1372"/>
  <c r="J1371"/>
  <c r="J1370"/>
  <c r="J1369"/>
  <c r="J1368"/>
  <c r="J1367"/>
  <c r="J1366"/>
  <c r="J1365"/>
  <c r="J1364"/>
  <c r="J1363"/>
  <c r="J1362"/>
  <c r="J1361"/>
  <c r="J1360"/>
  <c r="J1359"/>
  <c r="J1358"/>
  <c r="J1357"/>
  <c r="J1356"/>
  <c r="J1355"/>
  <c r="J1354"/>
  <c r="J1353"/>
  <c r="J1352"/>
  <c r="J1351"/>
  <c r="J1350"/>
  <c r="J1349"/>
  <c r="J1348"/>
  <c r="J1347"/>
  <c r="J1346"/>
  <c r="J1345"/>
  <c r="J1344"/>
  <c r="J1343"/>
  <c r="J1342"/>
  <c r="J1341"/>
  <c r="J1340"/>
  <c r="J1339"/>
  <c r="J1338"/>
  <c r="J1337"/>
  <c r="J1336"/>
  <c r="J1335"/>
  <c r="J1334"/>
  <c r="J1333"/>
  <c r="J1332"/>
  <c r="J1331"/>
  <c r="J1330"/>
  <c r="J1329"/>
  <c r="J1328"/>
  <c r="J1327"/>
  <c r="J1326"/>
  <c r="J1325"/>
  <c r="J1324"/>
  <c r="J1323"/>
  <c r="J1322"/>
  <c r="J1321"/>
  <c r="J1320"/>
  <c r="J1319"/>
  <c r="J1318"/>
  <c r="J1317"/>
  <c r="J1316"/>
  <c r="J1315"/>
  <c r="J1314"/>
  <c r="J1313"/>
  <c r="J1312"/>
  <c r="J1311"/>
  <c r="J1310"/>
  <c r="J1309"/>
  <c r="J1308"/>
  <c r="J1307"/>
  <c r="J1306"/>
  <c r="J1305"/>
  <c r="J1304"/>
  <c r="J1303"/>
  <c r="J1302"/>
  <c r="J1301"/>
  <c r="J1300"/>
  <c r="J1299"/>
  <c r="J1298"/>
  <c r="J1297"/>
  <c r="J1296"/>
  <c r="J1295"/>
  <c r="J1294"/>
  <c r="J1293"/>
  <c r="J1292"/>
  <c r="J1291"/>
  <c r="J1290"/>
  <c r="J1289"/>
  <c r="J1288"/>
  <c r="J1287"/>
  <c r="J1286"/>
  <c r="J1285"/>
  <c r="J1284"/>
  <c r="J1283"/>
  <c r="J1282"/>
  <c r="J1281"/>
  <c r="J1280"/>
  <c r="J1279"/>
  <c r="J1278"/>
  <c r="J1277"/>
  <c r="J1276"/>
  <c r="J1275"/>
  <c r="J1274"/>
  <c r="J1273"/>
  <c r="J1272"/>
  <c r="J1271"/>
  <c r="J1270"/>
  <c r="J1269"/>
  <c r="J1268"/>
  <c r="J1267"/>
  <c r="J1266"/>
  <c r="J1265"/>
  <c r="J1264"/>
  <c r="J1263"/>
  <c r="J1262"/>
  <c r="J1261"/>
  <c r="J1260"/>
  <c r="J1259"/>
  <c r="J1258"/>
  <c r="J1257"/>
  <c r="J1256"/>
  <c r="J1255"/>
  <c r="J1254"/>
  <c r="J1253"/>
  <c r="J1252"/>
  <c r="J1251"/>
  <c r="J1250"/>
  <c r="J1249"/>
  <c r="J1248"/>
  <c r="J1247"/>
  <c r="J1246"/>
  <c r="J1245"/>
  <c r="J1244"/>
  <c r="J1243"/>
  <c r="J1242"/>
  <c r="J1241"/>
  <c r="J1240"/>
  <c r="J1239"/>
  <c r="J1238"/>
  <c r="J1237"/>
  <c r="J1236"/>
  <c r="J1235"/>
  <c r="J1234"/>
  <c r="J1233"/>
  <c r="J1232"/>
  <c r="J1231"/>
  <c r="J1230"/>
  <c r="J1229"/>
  <c r="J1228"/>
  <c r="J1227"/>
  <c r="J1226"/>
  <c r="J1225"/>
  <c r="J1224"/>
  <c r="J1223"/>
  <c r="J1222"/>
  <c r="J1221"/>
  <c r="J1220"/>
  <c r="J1219"/>
  <c r="J1218"/>
  <c r="J1217"/>
  <c r="J1216"/>
  <c r="J1215"/>
  <c r="J1214"/>
  <c r="J1213"/>
  <c r="J1212"/>
  <c r="J1211"/>
  <c r="J1210"/>
  <c r="J1209"/>
  <c r="J1208"/>
  <c r="J1207"/>
  <c r="J1206"/>
  <c r="J1205"/>
  <c r="J1204"/>
  <c r="J1203"/>
  <c r="J1202"/>
  <c r="J1201"/>
  <c r="J1200"/>
  <c r="J1199"/>
  <c r="J1198"/>
  <c r="J1197"/>
  <c r="J1196"/>
  <c r="J1195"/>
  <c r="J1194"/>
  <c r="J1193"/>
  <c r="J1192"/>
  <c r="J1191"/>
  <c r="J1190"/>
  <c r="J1189"/>
  <c r="J1188"/>
  <c r="J1187"/>
  <c r="J1186"/>
  <c r="J1185"/>
  <c r="J1184"/>
  <c r="J1183"/>
  <c r="J1182"/>
  <c r="J1181"/>
  <c r="J1180"/>
  <c r="J1179"/>
  <c r="J1178"/>
  <c r="J1177"/>
  <c r="J1176"/>
  <c r="J1175"/>
  <c r="J1174"/>
  <c r="J1173"/>
  <c r="J1172"/>
  <c r="J1171"/>
  <c r="J1170"/>
  <c r="J1169"/>
  <c r="J1168"/>
  <c r="J1167"/>
  <c r="J1166"/>
  <c r="J1165"/>
  <c r="J1164"/>
  <c r="J1163"/>
  <c r="J1162"/>
  <c r="J1161"/>
  <c r="J1160"/>
  <c r="J1159"/>
  <c r="J1158"/>
  <c r="J1157"/>
  <c r="J1156"/>
  <c r="J1155"/>
  <c r="J1154"/>
  <c r="J1153"/>
  <c r="J1152"/>
  <c r="J1151"/>
  <c r="J1150"/>
  <c r="J1149"/>
  <c r="J1148"/>
  <c r="J1147"/>
  <c r="J1146"/>
  <c r="J1145"/>
  <c r="J1144"/>
  <c r="J1143"/>
  <c r="J1142"/>
  <c r="J1141"/>
  <c r="J1140"/>
  <c r="J1139"/>
  <c r="J1138"/>
  <c r="J1137"/>
  <c r="J1136"/>
  <c r="J1135"/>
  <c r="J1134"/>
  <c r="J1133"/>
  <c r="J1132"/>
  <c r="J1131"/>
  <c r="J1130"/>
  <c r="J1129"/>
  <c r="J1128"/>
  <c r="J1127"/>
  <c r="J1126"/>
  <c r="J1125"/>
  <c r="J1124"/>
  <c r="J1123"/>
  <c r="J1122"/>
  <c r="J1121"/>
  <c r="J1120"/>
  <c r="J1119"/>
  <c r="J1118"/>
  <c r="J1117"/>
  <c r="J1116"/>
  <c r="J1115"/>
  <c r="J1114"/>
  <c r="J1113"/>
  <c r="J1112"/>
  <c r="J1111"/>
  <c r="J1110"/>
  <c r="J1109"/>
  <c r="J1108"/>
  <c r="J1107"/>
  <c r="J1106"/>
  <c r="J1105"/>
  <c r="J1104"/>
  <c r="J1103"/>
  <c r="J1102"/>
  <c r="J1101"/>
  <c r="J1100"/>
  <c r="J1099"/>
  <c r="J1098"/>
  <c r="J1097"/>
  <c r="J1096"/>
  <c r="J1095"/>
  <c r="J1094"/>
  <c r="J1093"/>
  <c r="J1092"/>
  <c r="J1091"/>
  <c r="J1090"/>
  <c r="J1089"/>
  <c r="J1088"/>
  <c r="J1087"/>
  <c r="J1086"/>
  <c r="J1085"/>
  <c r="J1084"/>
  <c r="J1083"/>
  <c r="J1082"/>
  <c r="J1081"/>
  <c r="J1080"/>
  <c r="J1079"/>
  <c r="J1078"/>
  <c r="J1077"/>
  <c r="J1076"/>
  <c r="J1075"/>
  <c r="J1074"/>
  <c r="J1073"/>
  <c r="J1072"/>
  <c r="J1071"/>
  <c r="J1070"/>
  <c r="J1069"/>
  <c r="J1068"/>
  <c r="J1067"/>
  <c r="J1066"/>
  <c r="J1065"/>
  <c r="J1064"/>
  <c r="J1063"/>
  <c r="J1062"/>
  <c r="J1061"/>
  <c r="J1060"/>
  <c r="J1059"/>
  <c r="J1058"/>
  <c r="J1057"/>
  <c r="J1056"/>
  <c r="J1055"/>
  <c r="J1054"/>
  <c r="J1053"/>
  <c r="J1052"/>
  <c r="J1051"/>
  <c r="J1050"/>
  <c r="J1049"/>
  <c r="J1048"/>
  <c r="J1047"/>
  <c r="J1046"/>
  <c r="J1045"/>
  <c r="J1044"/>
  <c r="J1043"/>
  <c r="J1042"/>
  <c r="J1041"/>
  <c r="J1040"/>
  <c r="J1039"/>
  <c r="J1038"/>
  <c r="J1037"/>
  <c r="J1036"/>
  <c r="J1035"/>
  <c r="J1034"/>
  <c r="J1033"/>
  <c r="J1032"/>
  <c r="J1031"/>
  <c r="J1030"/>
  <c r="J1029"/>
  <c r="J1028"/>
  <c r="J1027"/>
  <c r="J1026"/>
  <c r="J1025"/>
  <c r="J1024"/>
  <c r="J1023"/>
  <c r="J1022"/>
  <c r="J1021"/>
  <c r="J1020"/>
  <c r="J1019"/>
  <c r="J1018"/>
  <c r="J1017"/>
  <c r="J1016"/>
  <c r="J1015"/>
  <c r="J1014"/>
  <c r="J1013"/>
  <c r="J1012"/>
  <c r="J1011"/>
  <c r="J1010"/>
  <c r="J1009"/>
  <c r="J1008"/>
  <c r="J1007"/>
  <c r="J1006"/>
  <c r="J1005"/>
  <c r="J1004"/>
  <c r="J1003"/>
  <c r="J1002"/>
  <c r="J1001"/>
  <c r="J1000"/>
  <c r="J999"/>
  <c r="J998"/>
  <c r="J997"/>
  <c r="J996"/>
  <c r="J995"/>
  <c r="J994"/>
  <c r="J993"/>
  <c r="J992"/>
  <c r="J991"/>
  <c r="J990"/>
  <c r="J989"/>
  <c r="J988"/>
  <c r="J987"/>
  <c r="J986"/>
  <c r="J985"/>
  <c r="J984"/>
  <c r="J983"/>
  <c r="J982"/>
  <c r="J981"/>
  <c r="J980"/>
  <c r="J979"/>
  <c r="J978"/>
  <c r="J977"/>
  <c r="J976"/>
  <c r="J975"/>
  <c r="J974"/>
  <c r="J973"/>
  <c r="J972"/>
  <c r="J971"/>
  <c r="J970"/>
  <c r="J969"/>
  <c r="J968"/>
  <c r="J967"/>
  <c r="J966"/>
  <c r="J965"/>
  <c r="J964"/>
  <c r="J963"/>
  <c r="J962"/>
  <c r="J961"/>
  <c r="J960"/>
  <c r="J959"/>
  <c r="J958"/>
  <c r="J957"/>
  <c r="J956"/>
  <c r="J955"/>
  <c r="J954"/>
  <c r="J953"/>
  <c r="J952"/>
  <c r="J951"/>
  <c r="J950"/>
  <c r="J949"/>
  <c r="J948"/>
  <c r="J947"/>
  <c r="J946"/>
  <c r="J945"/>
  <c r="J944"/>
  <c r="J943"/>
  <c r="J942"/>
  <c r="J941"/>
  <c r="J940"/>
  <c r="J939"/>
  <c r="J938"/>
  <c r="J937"/>
  <c r="J936"/>
  <c r="J935"/>
  <c r="J934"/>
  <c r="J933"/>
  <c r="J932"/>
  <c r="J931"/>
  <c r="J930"/>
  <c r="J929"/>
  <c r="J928"/>
  <c r="J927"/>
  <c r="J926"/>
  <c r="J925"/>
  <c r="J924"/>
  <c r="J923"/>
  <c r="J922"/>
  <c r="J921"/>
  <c r="J920"/>
  <c r="J919"/>
  <c r="J918"/>
  <c r="J917"/>
  <c r="J916"/>
  <c r="J915"/>
  <c r="J914"/>
  <c r="J913"/>
  <c r="J912"/>
  <c r="J911"/>
  <c r="J910"/>
  <c r="J909"/>
  <c r="J908"/>
  <c r="J907"/>
  <c r="J906"/>
  <c r="J905"/>
  <c r="J904"/>
  <c r="J903"/>
  <c r="J902"/>
  <c r="J901"/>
  <c r="J900"/>
  <c r="J899"/>
  <c r="J898"/>
  <c r="J897"/>
  <c r="J896"/>
  <c r="J895"/>
  <c r="J894"/>
  <c r="J893"/>
  <c r="J892"/>
  <c r="J891"/>
  <c r="J890"/>
  <c r="J889"/>
  <c r="J888"/>
  <c r="J887"/>
  <c r="J886"/>
  <c r="J885"/>
  <c r="J884"/>
  <c r="J883"/>
  <c r="J882"/>
  <c r="J881"/>
  <c r="J880"/>
  <c r="J879"/>
  <c r="J878"/>
  <c r="J877"/>
  <c r="J876"/>
  <c r="J875"/>
  <c r="J874"/>
  <c r="J873"/>
  <c r="J872"/>
  <c r="J871"/>
  <c r="J870"/>
  <c r="J869"/>
  <c r="J868"/>
  <c r="J867"/>
  <c r="J866"/>
  <c r="J865"/>
  <c r="J864"/>
  <c r="J863"/>
  <c r="J862"/>
  <c r="J861"/>
  <c r="J860"/>
  <c r="J859"/>
  <c r="J858"/>
  <c r="J857"/>
  <c r="J856"/>
  <c r="J855"/>
  <c r="J854"/>
  <c r="J853"/>
  <c r="J852"/>
  <c r="J851"/>
  <c r="J850"/>
  <c r="J849"/>
  <c r="J848"/>
  <c r="J847"/>
  <c r="J846"/>
  <c r="J845"/>
  <c r="J844"/>
  <c r="J843"/>
  <c r="J842"/>
  <c r="J841"/>
  <c r="J840"/>
  <c r="J839"/>
  <c r="J838"/>
  <c r="J837"/>
  <c r="J836"/>
  <c r="J835"/>
  <c r="J834"/>
  <c r="J833"/>
  <c r="J832"/>
  <c r="J831"/>
  <c r="J830"/>
  <c r="J829"/>
  <c r="J828"/>
  <c r="J827"/>
  <c r="J826"/>
  <c r="J825"/>
  <c r="J824"/>
  <c r="J823"/>
  <c r="J822"/>
  <c r="J821"/>
  <c r="J820"/>
  <c r="J819"/>
  <c r="J818"/>
  <c r="J817"/>
  <c r="J816"/>
  <c r="J815"/>
  <c r="J814"/>
  <c r="J813"/>
  <c r="J812"/>
  <c r="J811"/>
  <c r="J810"/>
  <c r="J809"/>
  <c r="J808"/>
  <c r="J807"/>
  <c r="J806"/>
  <c r="J805"/>
  <c r="J804"/>
  <c r="J803"/>
  <c r="J802"/>
  <c r="J801"/>
  <c r="J800"/>
  <c r="J799"/>
  <c r="J798"/>
  <c r="J797"/>
  <c r="J796"/>
  <c r="J795"/>
  <c r="J794"/>
  <c r="J793"/>
  <c r="J792"/>
  <c r="J791"/>
  <c r="J790"/>
  <c r="J789"/>
  <c r="J788"/>
  <c r="J787"/>
  <c r="J786"/>
  <c r="J785"/>
  <c r="J784"/>
  <c r="J783"/>
  <c r="J782"/>
  <c r="J781"/>
  <c r="J780"/>
  <c r="J779"/>
  <c r="J778"/>
  <c r="J777"/>
  <c r="J776"/>
  <c r="J775"/>
  <c r="J774"/>
  <c r="J773"/>
  <c r="J772"/>
  <c r="J771"/>
  <c r="J770"/>
  <c r="J769"/>
  <c r="J768"/>
  <c r="J767"/>
  <c r="J766"/>
  <c r="J765"/>
  <c r="J764"/>
  <c r="J763"/>
  <c r="J762"/>
  <c r="J761"/>
  <c r="J760"/>
  <c r="J759"/>
  <c r="J758"/>
  <c r="J757"/>
  <c r="J756"/>
  <c r="J755"/>
  <c r="J754"/>
  <c r="J753"/>
  <c r="J752"/>
  <c r="J751"/>
  <c r="J750"/>
  <c r="J749"/>
  <c r="J748"/>
  <c r="J747"/>
  <c r="J746"/>
  <c r="J745"/>
  <c r="J744"/>
  <c r="J743"/>
  <c r="J742"/>
  <c r="J741"/>
  <c r="J740"/>
  <c r="J739"/>
  <c r="J738"/>
  <c r="J737"/>
  <c r="J736"/>
  <c r="J735"/>
  <c r="J734"/>
  <c r="J733"/>
  <c r="J732"/>
  <c r="J731"/>
  <c r="J730"/>
  <c r="J729"/>
  <c r="J728"/>
  <c r="J727"/>
  <c r="J726"/>
  <c r="J725"/>
  <c r="J724"/>
  <c r="J723"/>
  <c r="J722"/>
  <c r="J721"/>
  <c r="J720"/>
  <c r="J719"/>
  <c r="J718"/>
  <c r="J717"/>
  <c r="J716"/>
  <c r="J715"/>
  <c r="J714"/>
  <c r="J713"/>
  <c r="J712"/>
  <c r="J711"/>
  <c r="J710"/>
  <c r="J709"/>
  <c r="J708"/>
  <c r="J707"/>
  <c r="J706"/>
  <c r="J705"/>
  <c r="J704"/>
  <c r="J703"/>
  <c r="J702"/>
  <c r="J701"/>
  <c r="J700"/>
  <c r="J699"/>
  <c r="J698"/>
  <c r="J697"/>
  <c r="J696"/>
  <c r="J695"/>
  <c r="J694"/>
  <c r="J693"/>
  <c r="J692"/>
  <c r="J691"/>
  <c r="J690"/>
  <c r="J689"/>
  <c r="J688"/>
  <c r="J687"/>
  <c r="J686"/>
  <c r="J685"/>
  <c r="J684"/>
  <c r="J683"/>
  <c r="J682"/>
  <c r="J681"/>
  <c r="J680"/>
  <c r="J679"/>
  <c r="J678"/>
  <c r="J677"/>
  <c r="J676"/>
  <c r="J675"/>
  <c r="J674"/>
  <c r="J673"/>
  <c r="J672"/>
  <c r="J671"/>
  <c r="J670"/>
  <c r="J669"/>
  <c r="J668"/>
  <c r="J667"/>
  <c r="J666"/>
  <c r="J665"/>
  <c r="J664"/>
  <c r="J663"/>
  <c r="J662"/>
  <c r="J661"/>
  <c r="J660"/>
  <c r="J659"/>
  <c r="J658"/>
  <c r="J657"/>
  <c r="J656"/>
  <c r="J655"/>
  <c r="J654"/>
  <c r="J653"/>
  <c r="J652"/>
  <c r="J651"/>
  <c r="J650"/>
  <c r="J649"/>
  <c r="J648"/>
  <c r="J647"/>
  <c r="J646"/>
  <c r="J645"/>
  <c r="J644"/>
  <c r="J643"/>
  <c r="J642"/>
  <c r="J641"/>
  <c r="J640"/>
  <c r="J639"/>
  <c r="J638"/>
  <c r="J637"/>
  <c r="J636"/>
  <c r="J635"/>
  <c r="J634"/>
  <c r="J633"/>
  <c r="J632"/>
  <c r="J631"/>
  <c r="J630"/>
  <c r="J629"/>
  <c r="J628"/>
  <c r="J627"/>
  <c r="J626"/>
  <c r="J625"/>
  <c r="J624"/>
  <c r="J623"/>
  <c r="J622"/>
  <c r="J621"/>
  <c r="J620"/>
  <c r="J619"/>
  <c r="J618"/>
  <c r="J617"/>
  <c r="J616"/>
  <c r="J615"/>
  <c r="J614"/>
  <c r="J613"/>
  <c r="J612"/>
  <c r="J611"/>
  <c r="J610"/>
  <c r="J609"/>
  <c r="J608"/>
  <c r="J607"/>
  <c r="J606"/>
  <c r="J605"/>
  <c r="J604"/>
  <c r="J603"/>
  <c r="J602"/>
  <c r="J601"/>
  <c r="J600"/>
  <c r="J599"/>
  <c r="J598"/>
  <c r="J597"/>
  <c r="J596"/>
  <c r="J595"/>
  <c r="J594"/>
  <c r="J593"/>
  <c r="J592"/>
  <c r="J591"/>
  <c r="J590"/>
  <c r="J589"/>
  <c r="J588"/>
  <c r="J587"/>
  <c r="J586"/>
  <c r="J585"/>
  <c r="J584"/>
  <c r="J583"/>
  <c r="J582"/>
  <c r="J581"/>
  <c r="J580"/>
  <c r="J579"/>
  <c r="J578"/>
  <c r="J577"/>
  <c r="J576"/>
  <c r="J575"/>
  <c r="J574"/>
  <c r="J573"/>
  <c r="J572"/>
  <c r="J571"/>
  <c r="J570"/>
  <c r="J569"/>
  <c r="J568"/>
  <c r="J567"/>
  <c r="J566"/>
  <c r="J565"/>
  <c r="J564"/>
  <c r="J563"/>
  <c r="J562"/>
  <c r="J561"/>
  <c r="J560"/>
  <c r="J559"/>
  <c r="J558"/>
  <c r="J557"/>
  <c r="J556"/>
  <c r="J555"/>
  <c r="J554"/>
  <c r="J553"/>
  <c r="J552"/>
  <c r="J551"/>
  <c r="J550"/>
  <c r="J549"/>
  <c r="J548"/>
  <c r="J547"/>
  <c r="J546"/>
  <c r="J545"/>
  <c r="J544"/>
  <c r="J543"/>
  <c r="J542"/>
  <c r="J541"/>
  <c r="J540"/>
  <c r="J539"/>
  <c r="J538"/>
  <c r="J537"/>
  <c r="J536"/>
  <c r="J535"/>
  <c r="J534"/>
  <c r="J533"/>
  <c r="J532"/>
  <c r="J531"/>
  <c r="J530"/>
  <c r="J529"/>
  <c r="J528"/>
  <c r="J527"/>
  <c r="J526"/>
  <c r="J525"/>
  <c r="J524"/>
  <c r="J523"/>
  <c r="J522"/>
  <c r="J521"/>
  <c r="J520"/>
  <c r="J519"/>
  <c r="J518"/>
  <c r="J517"/>
  <c r="J516"/>
  <c r="J515"/>
  <c r="J514"/>
  <c r="J513"/>
  <c r="J512"/>
  <c r="J511"/>
  <c r="J510"/>
  <c r="J509"/>
  <c r="J508"/>
  <c r="J507"/>
  <c r="J506"/>
  <c r="J505"/>
  <c r="J504"/>
  <c r="J503"/>
  <c r="J502"/>
  <c r="J501"/>
  <c r="J500"/>
  <c r="J499"/>
  <c r="J498"/>
  <c r="J497"/>
  <c r="J496"/>
  <c r="J495"/>
  <c r="J494"/>
  <c r="J493"/>
  <c r="J492"/>
  <c r="J491"/>
  <c r="J490"/>
  <c r="J489"/>
  <c r="J488"/>
  <c r="J487"/>
  <c r="J486"/>
  <c r="J485"/>
  <c r="J484"/>
  <c r="J483"/>
  <c r="J482"/>
  <c r="J481"/>
  <c r="J480"/>
  <c r="J479"/>
  <c r="J478"/>
  <c r="J477"/>
  <c r="J476"/>
  <c r="J475"/>
  <c r="J474"/>
  <c r="J473"/>
  <c r="J472"/>
  <c r="J471"/>
  <c r="J470"/>
  <c r="J469"/>
  <c r="J468"/>
  <c r="J467"/>
  <c r="J466"/>
  <c r="J465"/>
  <c r="J464"/>
  <c r="J463"/>
  <c r="J462"/>
  <c r="J461"/>
  <c r="J460"/>
  <c r="J459"/>
  <c r="J458"/>
  <c r="J457"/>
  <c r="J456"/>
  <c r="J455"/>
  <c r="J454"/>
  <c r="J453"/>
  <c r="J452"/>
  <c r="J451"/>
  <c r="J450"/>
  <c r="J449"/>
  <c r="J448"/>
  <c r="J447"/>
  <c r="J446"/>
  <c r="J445"/>
  <c r="J444"/>
  <c r="J443"/>
  <c r="J442"/>
  <c r="J441"/>
  <c r="J440"/>
  <c r="J439"/>
  <c r="J438"/>
  <c r="J437"/>
  <c r="J436"/>
  <c r="J435"/>
  <c r="J434"/>
  <c r="J433"/>
  <c r="J432"/>
  <c r="J431"/>
  <c r="J430"/>
  <c r="J429"/>
  <c r="J428"/>
  <c r="J427"/>
  <c r="J426"/>
  <c r="J425"/>
  <c r="J424"/>
  <c r="J423"/>
  <c r="J422"/>
  <c r="J421"/>
  <c r="J420"/>
  <c r="J419"/>
  <c r="J418"/>
  <c r="J417"/>
  <c r="J416"/>
  <c r="J415"/>
  <c r="J414"/>
  <c r="J413"/>
  <c r="J412"/>
  <c r="J411"/>
  <c r="J410"/>
  <c r="J409"/>
  <c r="J408"/>
  <c r="J407"/>
  <c r="J406"/>
  <c r="J405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85"/>
  <c r="J384"/>
  <c r="J383"/>
  <c r="J382"/>
  <c r="J381"/>
  <c r="J380"/>
  <c r="J379"/>
  <c r="J378"/>
  <c r="J377"/>
  <c r="J376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K6"/>
  <c r="J7"/>
  <c r="J5"/>
  <c r="J6"/>
  <c r="D368" i="44" l="1"/>
  <c r="D369" s="1"/>
  <c r="D370" s="1"/>
  <c r="D371" s="1"/>
  <c r="D372" s="1"/>
  <c r="D373" s="1"/>
  <c r="D374" s="1"/>
  <c r="D314"/>
  <c r="D315" s="1"/>
  <c r="D236"/>
  <c r="D237" s="1"/>
  <c r="D232"/>
  <c r="D233" s="1"/>
  <c r="D118"/>
  <c r="D119" s="1"/>
  <c r="D114"/>
  <c r="D115" s="1"/>
  <c r="D110"/>
  <c r="D111" s="1"/>
  <c r="D296"/>
  <c r="D297" s="1"/>
  <c r="D292"/>
  <c r="D293" s="1"/>
  <c r="D272"/>
  <c r="D273" s="1"/>
  <c r="D274" s="1"/>
  <c r="D275" s="1"/>
  <c r="D276" s="1"/>
  <c r="D277" s="1"/>
  <c r="D278" s="1"/>
  <c r="D279" s="1"/>
  <c r="D280" s="1"/>
  <c r="D281" s="1"/>
  <c r="D206"/>
  <c r="D207" s="1"/>
  <c r="D208" s="1"/>
  <c r="D209" s="1"/>
  <c r="D210" s="1"/>
  <c r="D211" s="1"/>
  <c r="D212" s="1"/>
  <c r="D213" s="1"/>
  <c r="D214" s="1"/>
  <c r="D215" s="1"/>
  <c r="D216" s="1"/>
  <c r="D217" s="1"/>
  <c r="D218" s="1"/>
  <c r="D366"/>
  <c r="D367" s="1"/>
  <c r="D336"/>
  <c r="D337" s="1"/>
  <c r="D338" s="1"/>
  <c r="D339" s="1"/>
  <c r="D340" s="1"/>
  <c r="D341" s="1"/>
  <c r="D342" s="1"/>
  <c r="D343" s="1"/>
  <c r="D344" s="1"/>
  <c r="D320"/>
  <c r="D321" s="1"/>
  <c r="D322" s="1"/>
  <c r="D323" s="1"/>
  <c r="D324" s="1"/>
  <c r="D325" s="1"/>
  <c r="D326" s="1"/>
  <c r="D327" s="1"/>
  <c r="D328" s="1"/>
  <c r="D329" s="1"/>
  <c r="D330" s="1"/>
  <c r="D331" s="1"/>
  <c r="D332" s="1"/>
  <c r="D333" s="1"/>
  <c r="D316"/>
  <c r="D317" s="1"/>
  <c r="D312"/>
  <c r="D313" s="1"/>
  <c r="D304"/>
  <c r="D305" s="1"/>
  <c r="D306" s="1"/>
  <c r="D307" s="1"/>
  <c r="D308" s="1"/>
  <c r="D309" s="1"/>
  <c r="D254"/>
  <c r="D255" s="1"/>
  <c r="D256" s="1"/>
  <c r="D257" s="1"/>
  <c r="D258" s="1"/>
  <c r="D259" s="1"/>
  <c r="D260" s="1"/>
  <c r="D261" s="1"/>
  <c r="D262" s="1"/>
  <c r="D263" s="1"/>
  <c r="D264" s="1"/>
  <c r="D265" s="1"/>
  <c r="D266" s="1"/>
  <c r="D242"/>
  <c r="D243" s="1"/>
  <c r="D244" s="1"/>
  <c r="D245" s="1"/>
  <c r="D246" s="1"/>
  <c r="D247" s="1"/>
  <c r="D248" s="1"/>
  <c r="D249" s="1"/>
  <c r="D250" s="1"/>
  <c r="D251" s="1"/>
  <c r="D238"/>
  <c r="D239" s="1"/>
  <c r="D234"/>
  <c r="D235" s="1"/>
  <c r="D230"/>
  <c r="D231" s="1"/>
  <c r="D222"/>
  <c r="D223" s="1"/>
  <c r="D224" s="1"/>
  <c r="D225" s="1"/>
  <c r="D226" s="1"/>
  <c r="D227" s="1"/>
  <c r="D144"/>
  <c r="D145" s="1"/>
  <c r="D146" s="1"/>
  <c r="D147" s="1"/>
  <c r="D148" s="1"/>
  <c r="D149" s="1"/>
  <c r="D150" s="1"/>
  <c r="D151" s="1"/>
  <c r="D152" s="1"/>
  <c r="D153" s="1"/>
  <c r="D154" s="1"/>
  <c r="D155" s="1"/>
  <c r="D156" s="1"/>
  <c r="D157" s="1"/>
  <c r="D158" s="1"/>
  <c r="D159" s="1"/>
  <c r="D160" s="1"/>
  <c r="D128"/>
  <c r="D129" s="1"/>
  <c r="D130" s="1"/>
  <c r="D131" s="1"/>
  <c r="D132" s="1"/>
  <c r="D133" s="1"/>
  <c r="D134" s="1"/>
  <c r="D135" s="1"/>
  <c r="D136" s="1"/>
  <c r="D137" s="1"/>
  <c r="D138" s="1"/>
  <c r="D139" s="1"/>
  <c r="D140" s="1"/>
  <c r="D141" s="1"/>
  <c r="D120"/>
  <c r="D121" s="1"/>
  <c r="D122" s="1"/>
  <c r="D123" s="1"/>
  <c r="D124" s="1"/>
  <c r="D125" s="1"/>
  <c r="D116"/>
  <c r="D117" s="1"/>
  <c r="D112"/>
  <c r="D113" s="1"/>
  <c r="D108"/>
  <c r="D109" s="1"/>
  <c r="D63"/>
  <c r="D64" s="1"/>
  <c r="D65" s="1"/>
  <c r="D66" s="1"/>
  <c r="D67" s="1"/>
  <c r="D68" s="1"/>
  <c r="D69" s="1"/>
  <c r="D52"/>
  <c r="U36"/>
  <c r="D398"/>
  <c r="D390"/>
  <c r="D391" s="1"/>
  <c r="D392" s="1"/>
  <c r="D393" s="1"/>
  <c r="D378"/>
  <c r="D379" s="1"/>
  <c r="D380" s="1"/>
  <c r="D381" s="1"/>
  <c r="D382" s="1"/>
  <c r="D383" s="1"/>
  <c r="D384" s="1"/>
  <c r="D385" s="1"/>
  <c r="D386" s="1"/>
  <c r="D387" s="1"/>
  <c r="D348"/>
  <c r="D349" s="1"/>
  <c r="D350" s="1"/>
  <c r="D351" s="1"/>
  <c r="D352" s="1"/>
  <c r="D353" s="1"/>
  <c r="D354" s="1"/>
  <c r="D355" s="1"/>
  <c r="D356" s="1"/>
  <c r="D357" s="1"/>
  <c r="D358" s="1"/>
  <c r="D359" s="1"/>
  <c r="D360" s="1"/>
  <c r="D361" s="1"/>
  <c r="D362" s="1"/>
  <c r="D298"/>
  <c r="D294"/>
  <c r="D295" s="1"/>
  <c r="D290"/>
  <c r="D291" s="1"/>
  <c r="D286"/>
  <c r="D287" s="1"/>
  <c r="D270"/>
  <c r="D271" s="1"/>
  <c r="D204"/>
  <c r="D205" s="1"/>
  <c r="D184"/>
  <c r="D185" s="1"/>
  <c r="D186" s="1"/>
  <c r="D187" s="1"/>
  <c r="D188" s="1"/>
  <c r="D189" s="1"/>
  <c r="D190" s="1"/>
  <c r="D191" s="1"/>
  <c r="D192" s="1"/>
  <c r="D193" s="1"/>
  <c r="D194" s="1"/>
  <c r="D195" s="1"/>
  <c r="D196" s="1"/>
  <c r="D197" s="1"/>
  <c r="D198" s="1"/>
  <c r="D199" s="1"/>
  <c r="D200" s="1"/>
  <c r="D201" s="1"/>
  <c r="D180"/>
  <c r="D181" s="1"/>
  <c r="D164"/>
  <c r="D165" s="1"/>
  <c r="D166" s="1"/>
  <c r="D167" s="1"/>
  <c r="D168" s="1"/>
  <c r="D169" s="1"/>
  <c r="D170" s="1"/>
  <c r="D171" s="1"/>
  <c r="D172" s="1"/>
  <c r="D173" s="1"/>
  <c r="D174" s="1"/>
  <c r="D175" s="1"/>
  <c r="D90"/>
  <c r="D91" s="1"/>
  <c r="D92" s="1"/>
  <c r="D93" s="1"/>
  <c r="D94" s="1"/>
  <c r="D95" s="1"/>
  <c r="D96" s="1"/>
  <c r="D97" s="1"/>
  <c r="D98" s="1"/>
  <c r="D99" s="1"/>
  <c r="D100" s="1"/>
  <c r="D101" s="1"/>
  <c r="D102" s="1"/>
  <c r="D103" s="1"/>
  <c r="D104" s="1"/>
  <c r="D74"/>
  <c r="D75" s="1"/>
  <c r="D76" s="1"/>
  <c r="D77" s="1"/>
  <c r="D78" s="1"/>
  <c r="D79" s="1"/>
  <c r="D80" s="1"/>
  <c r="D81" s="1"/>
  <c r="D82" s="1"/>
  <c r="D83" s="1"/>
  <c r="D84" s="1"/>
  <c r="D85" s="1"/>
  <c r="D86" s="1"/>
  <c r="D87" s="1"/>
  <c r="D60"/>
  <c r="D47"/>
  <c r="D48" s="1"/>
  <c r="G42" i="43"/>
  <c r="G43" s="1"/>
  <c r="G44" s="1"/>
  <c r="G45" s="1"/>
  <c r="G46" s="1"/>
  <c r="G47" s="1"/>
  <c r="G48" s="1"/>
  <c r="G49" s="1"/>
  <c r="G50" s="1"/>
  <c r="G51" s="1"/>
  <c r="G52" s="1"/>
  <c r="G53" s="1"/>
  <c r="K8"/>
  <c r="R72" i="8"/>
  <c r="R71"/>
  <c r="E51"/>
  <c r="E53"/>
  <c r="J158" i="5"/>
  <c r="J159"/>
  <c r="J160"/>
  <c r="G54" i="43" l="1"/>
  <c r="G55" s="1"/>
  <c r="G56" s="1"/>
  <c r="G57" s="1"/>
  <c r="G58" s="1"/>
  <c r="G59" s="1"/>
  <c r="G60" s="1"/>
  <c r="G61" s="1"/>
  <c r="G62" s="1"/>
  <c r="G63" s="1"/>
  <c r="G64" s="1"/>
  <c r="G65" s="1"/>
  <c r="K9"/>
  <c r="I65" i="42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B1"/>
  <c r="C1"/>
  <c r="B2"/>
  <c r="L2"/>
  <c r="Q2"/>
  <c r="E6"/>
  <c r="F6"/>
  <c r="G6"/>
  <c r="H6"/>
  <c r="J6"/>
  <c r="K6"/>
  <c r="E7"/>
  <c r="F7"/>
  <c r="G7"/>
  <c r="H7"/>
  <c r="J7"/>
  <c r="K7"/>
  <c r="E8"/>
  <c r="F8"/>
  <c r="G8"/>
  <c r="H8"/>
  <c r="J8"/>
  <c r="K8"/>
  <c r="E9"/>
  <c r="F9"/>
  <c r="G9"/>
  <c r="H9"/>
  <c r="J9"/>
  <c r="K9"/>
  <c r="E10"/>
  <c r="F10"/>
  <c r="G10"/>
  <c r="H10"/>
  <c r="J10"/>
  <c r="K10"/>
  <c r="E11"/>
  <c r="H11" s="1"/>
  <c r="F11"/>
  <c r="G11"/>
  <c r="J11"/>
  <c r="K11"/>
  <c r="E12"/>
  <c r="F12"/>
  <c r="G12"/>
  <c r="H12"/>
  <c r="J12"/>
  <c r="K12"/>
  <c r="E13"/>
  <c r="F13"/>
  <c r="G13"/>
  <c r="H13"/>
  <c r="J13"/>
  <c r="K13"/>
  <c r="E14"/>
  <c r="F14"/>
  <c r="G14"/>
  <c r="H14"/>
  <c r="J14"/>
  <c r="K14"/>
  <c r="E15"/>
  <c r="F15"/>
  <c r="G15"/>
  <c r="H15"/>
  <c r="J15"/>
  <c r="K15"/>
  <c r="E16"/>
  <c r="F16"/>
  <c r="G16"/>
  <c r="H16"/>
  <c r="J16"/>
  <c r="K16"/>
  <c r="E17"/>
  <c r="F17"/>
  <c r="G17"/>
  <c r="H17"/>
  <c r="J17"/>
  <c r="K17"/>
  <c r="E18"/>
  <c r="F18"/>
  <c r="G18"/>
  <c r="H18"/>
  <c r="J18"/>
  <c r="K18"/>
  <c r="E19"/>
  <c r="F19"/>
  <c r="G19"/>
  <c r="H19"/>
  <c r="J19"/>
  <c r="K19"/>
  <c r="E20"/>
  <c r="F20"/>
  <c r="G20"/>
  <c r="H20"/>
  <c r="J20"/>
  <c r="K20"/>
  <c r="E21"/>
  <c r="F21"/>
  <c r="G21"/>
  <c r="H21"/>
  <c r="J21"/>
  <c r="K21"/>
  <c r="E22"/>
  <c r="F22"/>
  <c r="G22"/>
  <c r="H22"/>
  <c r="J22"/>
  <c r="K22"/>
  <c r="E23"/>
  <c r="F23"/>
  <c r="G23"/>
  <c r="H23"/>
  <c r="J23"/>
  <c r="K23"/>
  <c r="E24"/>
  <c r="F24"/>
  <c r="G24"/>
  <c r="H24"/>
  <c r="J24"/>
  <c r="K24"/>
  <c r="E25"/>
  <c r="F25"/>
  <c r="G25"/>
  <c r="H25"/>
  <c r="J25"/>
  <c r="K25"/>
  <c r="E26"/>
  <c r="F26"/>
  <c r="G26"/>
  <c r="H26"/>
  <c r="J26"/>
  <c r="K26"/>
  <c r="E27"/>
  <c r="F27"/>
  <c r="G27"/>
  <c r="H27"/>
  <c r="J27"/>
  <c r="K27"/>
  <c r="E28"/>
  <c r="H28" s="1"/>
  <c r="F28"/>
  <c r="G28"/>
  <c r="J28"/>
  <c r="K28"/>
  <c r="E29"/>
  <c r="H29" s="1"/>
  <c r="F29"/>
  <c r="G29"/>
  <c r="J29"/>
  <c r="K29"/>
  <c r="E30"/>
  <c r="F30"/>
  <c r="G30"/>
  <c r="H30"/>
  <c r="J30"/>
  <c r="K30"/>
  <c r="E31"/>
  <c r="F31"/>
  <c r="G31"/>
  <c r="H31"/>
  <c r="J31"/>
  <c r="K31"/>
  <c r="E32"/>
  <c r="F32"/>
  <c r="G32"/>
  <c r="H32"/>
  <c r="J32"/>
  <c r="K32"/>
  <c r="E33"/>
  <c r="F33"/>
  <c r="G33"/>
  <c r="H33"/>
  <c r="J33"/>
  <c r="K33"/>
  <c r="E34"/>
  <c r="F34"/>
  <c r="G34"/>
  <c r="H34"/>
  <c r="J34"/>
  <c r="K34"/>
  <c r="E35"/>
  <c r="H35" s="1"/>
  <c r="F35"/>
  <c r="G35"/>
  <c r="J35"/>
  <c r="K35"/>
  <c r="E36"/>
  <c r="F36"/>
  <c r="G36"/>
  <c r="H36"/>
  <c r="J36"/>
  <c r="K36"/>
  <c r="E37"/>
  <c r="F37"/>
  <c r="G37"/>
  <c r="H37"/>
  <c r="J37"/>
  <c r="K37"/>
  <c r="E38"/>
  <c r="F38"/>
  <c r="G38"/>
  <c r="H38"/>
  <c r="J38"/>
  <c r="K38"/>
  <c r="E39"/>
  <c r="H39" s="1"/>
  <c r="F39"/>
  <c r="G39"/>
  <c r="J39"/>
  <c r="K39"/>
  <c r="E40"/>
  <c r="H40" s="1"/>
  <c r="F40"/>
  <c r="G40"/>
  <c r="J40"/>
  <c r="K40"/>
  <c r="E41"/>
  <c r="H41" s="1"/>
  <c r="F41"/>
  <c r="G41"/>
  <c r="J41"/>
  <c r="K41"/>
  <c r="E42"/>
  <c r="H42" s="1"/>
  <c r="F42"/>
  <c r="G42"/>
  <c r="J42"/>
  <c r="K42"/>
  <c r="E43"/>
  <c r="H43" s="1"/>
  <c r="F43"/>
  <c r="G43"/>
  <c r="J43"/>
  <c r="K43"/>
  <c r="E44"/>
  <c r="H44" s="1"/>
  <c r="F44"/>
  <c r="G44"/>
  <c r="J44"/>
  <c r="K44"/>
  <c r="E45"/>
  <c r="H45" s="1"/>
  <c r="F45"/>
  <c r="G45"/>
  <c r="J45"/>
  <c r="K45"/>
  <c r="E46"/>
  <c r="H46" s="1"/>
  <c r="F46"/>
  <c r="G46"/>
  <c r="J46"/>
  <c r="K46"/>
  <c r="E47"/>
  <c r="H47" s="1"/>
  <c r="F47"/>
  <c r="G47"/>
  <c r="J47"/>
  <c r="K47"/>
  <c r="E48"/>
  <c r="H48" s="1"/>
  <c r="F48"/>
  <c r="G48"/>
  <c r="J48"/>
  <c r="K48"/>
  <c r="E49"/>
  <c r="H49" s="1"/>
  <c r="F49"/>
  <c r="G49"/>
  <c r="J49"/>
  <c r="K49"/>
  <c r="E50"/>
  <c r="H50" s="1"/>
  <c r="F50"/>
  <c r="G50"/>
  <c r="J50"/>
  <c r="K50"/>
  <c r="E51"/>
  <c r="H51" s="1"/>
  <c r="F51"/>
  <c r="G51"/>
  <c r="J51"/>
  <c r="K51"/>
  <c r="E52"/>
  <c r="H52" s="1"/>
  <c r="F52"/>
  <c r="G52"/>
  <c r="J52"/>
  <c r="K52"/>
  <c r="E53"/>
  <c r="H53" s="1"/>
  <c r="F53"/>
  <c r="G53"/>
  <c r="J53"/>
  <c r="K53"/>
  <c r="E54"/>
  <c r="H54" s="1"/>
  <c r="F54"/>
  <c r="G54"/>
  <c r="J54"/>
  <c r="K54"/>
  <c r="E55"/>
  <c r="H55" s="1"/>
  <c r="F55"/>
  <c r="G55"/>
  <c r="J55"/>
  <c r="K55"/>
  <c r="E56"/>
  <c r="H56" s="1"/>
  <c r="F56"/>
  <c r="G56"/>
  <c r="J56"/>
  <c r="K56"/>
  <c r="E57"/>
  <c r="H57" s="1"/>
  <c r="F57"/>
  <c r="G57"/>
  <c r="J57"/>
  <c r="K57"/>
  <c r="E58"/>
  <c r="H58" s="1"/>
  <c r="F58"/>
  <c r="G58"/>
  <c r="J58"/>
  <c r="K58"/>
  <c r="E59"/>
  <c r="H59" s="1"/>
  <c r="F59"/>
  <c r="G59"/>
  <c r="J59"/>
  <c r="K59"/>
  <c r="E60"/>
  <c r="H60" s="1"/>
  <c r="F60"/>
  <c r="G60"/>
  <c r="J60"/>
  <c r="K60"/>
  <c r="E61"/>
  <c r="H61" s="1"/>
  <c r="F61"/>
  <c r="G61"/>
  <c r="J61"/>
  <c r="K61"/>
  <c r="E62"/>
  <c r="H62" s="1"/>
  <c r="F62"/>
  <c r="G62"/>
  <c r="J62"/>
  <c r="K62"/>
  <c r="E63"/>
  <c r="H63" s="1"/>
  <c r="F63"/>
  <c r="G63"/>
  <c r="J63"/>
  <c r="K63"/>
  <c r="E64"/>
  <c r="H64" s="1"/>
  <c r="F64"/>
  <c r="G64"/>
  <c r="J64"/>
  <c r="K64"/>
  <c r="E65"/>
  <c r="H65" s="1"/>
  <c r="F65"/>
  <c r="G65"/>
  <c r="J65"/>
  <c r="K65"/>
  <c r="J20" i="5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F160"/>
  <c r="E160"/>
  <c r="F159"/>
  <c r="E159"/>
  <c r="F158"/>
  <c r="E158"/>
  <c r="F157"/>
  <c r="E157"/>
  <c r="F156"/>
  <c r="E156"/>
  <c r="F155"/>
  <c r="E155"/>
  <c r="F154"/>
  <c r="E154"/>
  <c r="F153"/>
  <c r="E153"/>
  <c r="F152"/>
  <c r="E152"/>
  <c r="F151"/>
  <c r="E151"/>
  <c r="F150"/>
  <c r="E150"/>
  <c r="F149"/>
  <c r="E149"/>
  <c r="F148"/>
  <c r="E148"/>
  <c r="F147"/>
  <c r="E147"/>
  <c r="F146"/>
  <c r="E146"/>
  <c r="G66" i="43" l="1"/>
  <c r="G67" s="1"/>
  <c r="G68" s="1"/>
  <c r="G69" s="1"/>
  <c r="G70" s="1"/>
  <c r="G71" s="1"/>
  <c r="G72" s="1"/>
  <c r="K10"/>
  <c r="Q6" i="26"/>
  <c r="E42" i="33"/>
  <c r="E41"/>
  <c r="E40"/>
  <c r="E39"/>
  <c r="E38"/>
  <c r="E37"/>
  <c r="E36"/>
  <c r="E35"/>
  <c r="E34"/>
  <c r="E33"/>
  <c r="C42"/>
  <c r="G42" s="1"/>
  <c r="C41"/>
  <c r="G41" s="1"/>
  <c r="C40"/>
  <c r="G40" s="1"/>
  <c r="C39"/>
  <c r="G39" s="1"/>
  <c r="C38"/>
  <c r="G38" s="1"/>
  <c r="C37"/>
  <c r="G37" s="1"/>
  <c r="C36"/>
  <c r="G36" s="1"/>
  <c r="C35"/>
  <c r="G35" s="1"/>
  <c r="C34"/>
  <c r="G34" s="1"/>
  <c r="F145" i="5"/>
  <c r="E145"/>
  <c r="F144"/>
  <c r="E144"/>
  <c r="F143"/>
  <c r="E143"/>
  <c r="F142"/>
  <c r="E142"/>
  <c r="F141"/>
  <c r="E141"/>
  <c r="D9" i="40" l="1"/>
  <c r="E9"/>
  <c r="F9"/>
  <c r="G9"/>
  <c r="D10"/>
  <c r="E10"/>
  <c r="F10"/>
  <c r="G10"/>
  <c r="D11"/>
  <c r="E11"/>
  <c r="F11"/>
  <c r="G11"/>
  <c r="D12"/>
  <c r="E12"/>
  <c r="F12"/>
  <c r="G12"/>
  <c r="D13"/>
  <c r="E13"/>
  <c r="F13"/>
  <c r="G13"/>
  <c r="E14"/>
  <c r="F14"/>
  <c r="G14"/>
  <c r="E15"/>
  <c r="F15"/>
  <c r="G15"/>
  <c r="E16"/>
  <c r="F16"/>
  <c r="G16"/>
  <c r="E17"/>
  <c r="F17"/>
  <c r="G17"/>
  <c r="E18"/>
  <c r="F18"/>
  <c r="G18"/>
  <c r="E19"/>
  <c r="F19"/>
  <c r="G19"/>
  <c r="E20"/>
  <c r="F20"/>
  <c r="G20"/>
  <c r="E21"/>
  <c r="F21"/>
  <c r="G21"/>
  <c r="E22"/>
  <c r="F22"/>
  <c r="G22"/>
  <c r="E23"/>
  <c r="F23"/>
  <c r="G23"/>
  <c r="E24"/>
  <c r="F24"/>
  <c r="G24"/>
  <c r="E25"/>
  <c r="F25"/>
  <c r="G25"/>
  <c r="E26"/>
  <c r="F26"/>
  <c r="G26"/>
  <c r="E27"/>
  <c r="F27"/>
  <c r="G27"/>
  <c r="E28"/>
  <c r="F28"/>
  <c r="G28"/>
  <c r="E29"/>
  <c r="F29"/>
  <c r="G29"/>
  <c r="E30"/>
  <c r="F30"/>
  <c r="G30"/>
  <c r="E31"/>
  <c r="F31"/>
  <c r="G31"/>
  <c r="E32"/>
  <c r="F32"/>
  <c r="G32"/>
  <c r="E33"/>
  <c r="F33"/>
  <c r="G33"/>
  <c r="E34"/>
  <c r="F34"/>
  <c r="G34"/>
  <c r="E35"/>
  <c r="F35"/>
  <c r="G35"/>
  <c r="E36"/>
  <c r="F36"/>
  <c r="G36"/>
  <c r="E37"/>
  <c r="F37"/>
  <c r="G37"/>
  <c r="E38"/>
  <c r="F38"/>
  <c r="G38"/>
  <c r="E39"/>
  <c r="F39"/>
  <c r="G39"/>
  <c r="E40"/>
  <c r="F40"/>
  <c r="G40"/>
  <c r="E41"/>
  <c r="F41"/>
  <c r="G41"/>
  <c r="E42"/>
  <c r="F42"/>
  <c r="G42"/>
  <c r="E43"/>
  <c r="F43"/>
  <c r="G43"/>
  <c r="E44"/>
  <c r="F44"/>
  <c r="G44"/>
  <c r="E45"/>
  <c r="F45"/>
  <c r="G45"/>
  <c r="E46"/>
  <c r="F46"/>
  <c r="G46"/>
  <c r="E47"/>
  <c r="F47"/>
  <c r="G47"/>
  <c r="E48"/>
  <c r="F48"/>
  <c r="G48"/>
  <c r="E49"/>
  <c r="F49"/>
  <c r="G49"/>
  <c r="E50"/>
  <c r="F50"/>
  <c r="G50"/>
  <c r="E51"/>
  <c r="F51"/>
  <c r="G51"/>
  <c r="E52"/>
  <c r="F52"/>
  <c r="G52"/>
  <c r="E53"/>
  <c r="F53"/>
  <c r="G53"/>
  <c r="E54"/>
  <c r="F54"/>
  <c r="G54"/>
  <c r="E55"/>
  <c r="F55"/>
  <c r="G55"/>
  <c r="E56"/>
  <c r="F56"/>
  <c r="G56"/>
  <c r="E57"/>
  <c r="F57"/>
  <c r="G57"/>
  <c r="E58"/>
  <c r="F58"/>
  <c r="G58"/>
  <c r="E59"/>
  <c r="F59"/>
  <c r="G59"/>
  <c r="G7" i="39"/>
  <c r="I7"/>
  <c r="J7"/>
  <c r="K7"/>
  <c r="L7"/>
  <c r="G8"/>
  <c r="I8"/>
  <c r="J8"/>
  <c r="K8"/>
  <c r="L8"/>
  <c r="G9"/>
  <c r="I9"/>
  <c r="J9"/>
  <c r="K9"/>
  <c r="L9"/>
  <c r="G10"/>
  <c r="I10"/>
  <c r="J10"/>
  <c r="K10"/>
  <c r="L10"/>
  <c r="G11"/>
  <c r="I11"/>
  <c r="J11"/>
  <c r="K11"/>
  <c r="L11"/>
  <c r="G12"/>
  <c r="I12"/>
  <c r="J12"/>
  <c r="K12"/>
  <c r="L12"/>
  <c r="G13"/>
  <c r="I13"/>
  <c r="J13"/>
  <c r="K13"/>
  <c r="L13"/>
  <c r="G14"/>
  <c r="I14"/>
  <c r="J14"/>
  <c r="K14"/>
  <c r="L14"/>
  <c r="G15"/>
  <c r="I15"/>
  <c r="J15"/>
  <c r="K15"/>
  <c r="L15"/>
  <c r="G16"/>
  <c r="I16"/>
  <c r="J16"/>
  <c r="K16"/>
  <c r="L16"/>
  <c r="G17"/>
  <c r="I17"/>
  <c r="J17"/>
  <c r="K17"/>
  <c r="L17"/>
  <c r="G18"/>
  <c r="I18"/>
  <c r="J18"/>
  <c r="K18"/>
  <c r="L18"/>
  <c r="G19"/>
  <c r="I19"/>
  <c r="J19"/>
  <c r="K19"/>
  <c r="L19"/>
  <c r="G20"/>
  <c r="I20"/>
  <c r="J20"/>
  <c r="K20"/>
  <c r="L20"/>
  <c r="D23"/>
  <c r="E23"/>
  <c r="F23"/>
  <c r="E25"/>
  <c r="D2168" i="26" l="1"/>
  <c r="F140" i="5" l="1"/>
  <c r="E140"/>
  <c r="F139"/>
  <c r="E139"/>
  <c r="F138"/>
  <c r="E138"/>
  <c r="F137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F127"/>
  <c r="E127"/>
  <c r="F126"/>
  <c r="E126"/>
  <c r="F125"/>
  <c r="E125"/>
  <c r="F124"/>
  <c r="E124"/>
  <c r="F123"/>
  <c r="E12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F91"/>
  <c r="E91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S5" i="33"/>
  <c r="S4"/>
  <c r="A1"/>
  <c r="B1" s="1"/>
  <c r="A2"/>
  <c r="C12"/>
  <c r="C11"/>
  <c r="C10"/>
  <c r="C9"/>
  <c r="C8"/>
  <c r="C7"/>
  <c r="C6"/>
  <c r="C5"/>
  <c r="C4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2"/>
  <c r="P31"/>
  <c r="P29"/>
  <c r="P27"/>
  <c r="P26"/>
  <c r="P25"/>
  <c r="P24"/>
  <c r="P23"/>
  <c r="P22"/>
  <c r="P21"/>
  <c r="P20"/>
  <c r="P19"/>
  <c r="P18"/>
  <c r="P17"/>
  <c r="P16"/>
  <c r="P15"/>
  <c r="D48" i="8"/>
  <c r="F48" s="1"/>
  <c r="B48"/>
  <c r="E48" s="1"/>
  <c r="E45"/>
  <c r="D45"/>
  <c r="F45" s="1"/>
  <c r="D42"/>
  <c r="F42" s="1"/>
  <c r="B42"/>
  <c r="E42" s="1"/>
  <c r="E41"/>
  <c r="D41"/>
  <c r="F41" s="1"/>
  <c r="D38"/>
  <c r="F38" s="1"/>
  <c r="G38" s="1"/>
  <c r="E37"/>
  <c r="D37"/>
  <c r="F37" s="1"/>
  <c r="E36"/>
  <c r="D36"/>
  <c r="F36" s="1"/>
  <c r="E35"/>
  <c r="D35"/>
  <c r="F35" s="1"/>
  <c r="E34"/>
  <c r="D34"/>
  <c r="F34" s="1"/>
  <c r="D33"/>
  <c r="F33" s="1"/>
  <c r="G33" s="1"/>
  <c r="D32"/>
  <c r="F32" s="1"/>
  <c r="G32" s="1"/>
  <c r="R8" i="33"/>
  <c r="C33"/>
  <c r="G33" s="1"/>
  <c r="P32"/>
  <c r="G31"/>
  <c r="P30"/>
  <c r="G29"/>
  <c r="P28"/>
  <c r="G30"/>
  <c r="G28" l="1"/>
  <c r="G32"/>
  <c r="P14"/>
  <c r="G41" i="8"/>
  <c r="G45"/>
  <c r="G42"/>
  <c r="G48"/>
  <c r="G34"/>
  <c r="G35"/>
  <c r="G36"/>
  <c r="G37"/>
  <c r="T287" i="38" l="1"/>
  <c r="T286"/>
  <c r="U286" s="1"/>
  <c r="V286" s="1"/>
  <c r="T285"/>
  <c r="U285" s="1"/>
  <c r="T284"/>
  <c r="U284" s="1"/>
  <c r="V284" s="1"/>
  <c r="T283"/>
  <c r="T282"/>
  <c r="T279"/>
  <c r="U279" s="1"/>
  <c r="V279" s="1"/>
  <c r="T278"/>
  <c r="U278" s="1"/>
  <c r="V278" s="1"/>
  <c r="T277"/>
  <c r="U277" s="1"/>
  <c r="V277" s="1"/>
  <c r="T276"/>
  <c r="U276" s="1"/>
  <c r="V276" s="1"/>
  <c r="T275"/>
  <c r="U275" s="1"/>
  <c r="V275" s="1"/>
  <c r="T274"/>
  <c r="U274" s="1"/>
  <c r="V274" s="1"/>
  <c r="U283" l="1"/>
  <c r="V283" s="1"/>
  <c r="U287"/>
  <c r="V287" s="1"/>
  <c r="V285"/>
  <c r="U282"/>
  <c r="V282" s="1"/>
  <c r="S235" l="1"/>
  <c r="R236"/>
  <c r="S236" s="1"/>
  <c r="R237"/>
  <c r="S237"/>
  <c r="S240"/>
  <c r="S242"/>
  <c r="S243" s="1"/>
  <c r="R247"/>
  <c r="T248"/>
  <c r="T249"/>
  <c r="T250"/>
  <c r="V250"/>
  <c r="T251"/>
  <c r="T252"/>
  <c r="T253"/>
  <c r="T254"/>
  <c r="T255"/>
  <c r="T256"/>
  <c r="T257"/>
  <c r="T258"/>
  <c r="T259"/>
  <c r="T260"/>
  <c r="U260" s="1"/>
  <c r="X260" s="1"/>
  <c r="S261"/>
  <c r="U263"/>
  <c r="X19" i="32"/>
  <c r="V19"/>
  <c r="G348" i="38"/>
  <c r="I348" s="1"/>
  <c r="K348" s="1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M353"/>
  <c r="L353"/>
  <c r="K353"/>
  <c r="J353"/>
  <c r="J354"/>
  <c r="M354"/>
  <c r="L354"/>
  <c r="L352" s="1"/>
  <c r="K354"/>
  <c r="X224"/>
  <c r="X228" s="1"/>
  <c r="L27"/>
  <c r="M27"/>
  <c r="O27"/>
  <c r="P27"/>
  <c r="Q27"/>
  <c r="R27"/>
  <c r="S27"/>
  <c r="L28"/>
  <c r="M28"/>
  <c r="O28"/>
  <c r="P28"/>
  <c r="Q28"/>
  <c r="R28"/>
  <c r="S28"/>
  <c r="L29"/>
  <c r="M29"/>
  <c r="O29"/>
  <c r="P29"/>
  <c r="Q29"/>
  <c r="R29"/>
  <c r="S29"/>
  <c r="L30"/>
  <c r="M30"/>
  <c r="O30"/>
  <c r="P30"/>
  <c r="Q30"/>
  <c r="R30"/>
  <c r="S30"/>
  <c r="L31"/>
  <c r="M31"/>
  <c r="O31"/>
  <c r="P31"/>
  <c r="Q31"/>
  <c r="R31"/>
  <c r="S31"/>
  <c r="O32"/>
  <c r="P32"/>
  <c r="Q32"/>
  <c r="R32"/>
  <c r="S32"/>
  <c r="O33"/>
  <c r="P33"/>
  <c r="Q33"/>
  <c r="R33"/>
  <c r="S33"/>
  <c r="O34"/>
  <c r="P34"/>
  <c r="Q34"/>
  <c r="R34"/>
  <c r="S34"/>
  <c r="L35"/>
  <c r="M35"/>
  <c r="O35"/>
  <c r="P35"/>
  <c r="Q35"/>
  <c r="R35"/>
  <c r="S35"/>
  <c r="L36"/>
  <c r="M36"/>
  <c r="O36"/>
  <c r="P36"/>
  <c r="Q36"/>
  <c r="R36"/>
  <c r="S36"/>
  <c r="L37"/>
  <c r="M37"/>
  <c r="O37"/>
  <c r="P37"/>
  <c r="Q37"/>
  <c r="R37"/>
  <c r="S37"/>
  <c r="L38"/>
  <c r="M38"/>
  <c r="O38"/>
  <c r="P38"/>
  <c r="Q38"/>
  <c r="R38"/>
  <c r="S38"/>
  <c r="L42"/>
  <c r="M42"/>
  <c r="O42"/>
  <c r="P42"/>
  <c r="Q42"/>
  <c r="R42"/>
  <c r="S42"/>
  <c r="L43"/>
  <c r="M43"/>
  <c r="O43"/>
  <c r="P43"/>
  <c r="Q43"/>
  <c r="R43"/>
  <c r="S43"/>
  <c r="L44"/>
  <c r="M44"/>
  <c r="O44"/>
  <c r="P44"/>
  <c r="Q44"/>
  <c r="R44"/>
  <c r="S44"/>
  <c r="L45"/>
  <c r="M45"/>
  <c r="O45"/>
  <c r="P45"/>
  <c r="Q45"/>
  <c r="R45"/>
  <c r="S45"/>
  <c r="L46"/>
  <c r="M46"/>
  <c r="O46"/>
  <c r="P46"/>
  <c r="Q46"/>
  <c r="R46"/>
  <c r="S46"/>
  <c r="L47"/>
  <c r="M47"/>
  <c r="O47"/>
  <c r="P47"/>
  <c r="Q47"/>
  <c r="R47"/>
  <c r="S47"/>
  <c r="L48"/>
  <c r="M48"/>
  <c r="O48"/>
  <c r="P48"/>
  <c r="Q48"/>
  <c r="R48"/>
  <c r="S48"/>
  <c r="L49"/>
  <c r="M49"/>
  <c r="O49"/>
  <c r="P49"/>
  <c r="Q49"/>
  <c r="R49"/>
  <c r="S49"/>
  <c r="L50"/>
  <c r="M50"/>
  <c r="O50"/>
  <c r="P50"/>
  <c r="Q50"/>
  <c r="R50"/>
  <c r="S50"/>
  <c r="L51"/>
  <c r="M51"/>
  <c r="O51"/>
  <c r="P51"/>
  <c r="Q51"/>
  <c r="R51"/>
  <c r="S51"/>
  <c r="L52"/>
  <c r="M52"/>
  <c r="O52"/>
  <c r="P52"/>
  <c r="Q52"/>
  <c r="R52"/>
  <c r="S52"/>
  <c r="L53"/>
  <c r="M53"/>
  <c r="O53"/>
  <c r="P53"/>
  <c r="Q53"/>
  <c r="R53"/>
  <c r="S53"/>
  <c r="I208"/>
  <c r="I209" s="1"/>
  <c r="L212"/>
  <c r="L224" s="1"/>
  <c r="T224" s="1"/>
  <c r="M212"/>
  <c r="N212"/>
  <c r="N224" s="1"/>
  <c r="O212"/>
  <c r="U212" s="1"/>
  <c r="U224" s="1"/>
  <c r="P212"/>
  <c r="P224" s="1"/>
  <c r="Q212"/>
  <c r="R212"/>
  <c r="R224" s="1"/>
  <c r="S212"/>
  <c r="X212"/>
  <c r="X213" s="1"/>
  <c r="L213"/>
  <c r="T213" s="1"/>
  <c r="M213"/>
  <c r="N213"/>
  <c r="O213"/>
  <c r="U213" s="1"/>
  <c r="P213"/>
  <c r="Q213"/>
  <c r="R213"/>
  <c r="S213"/>
  <c r="L214"/>
  <c r="T214" s="1"/>
  <c r="M214"/>
  <c r="N214"/>
  <c r="O214"/>
  <c r="U214" s="1"/>
  <c r="P214"/>
  <c r="Q214"/>
  <c r="R214"/>
  <c r="S214"/>
  <c r="L215"/>
  <c r="T215" s="1"/>
  <c r="M215"/>
  <c r="N215"/>
  <c r="O215"/>
  <c r="U215" s="1"/>
  <c r="P215"/>
  <c r="Q215"/>
  <c r="R215"/>
  <c r="S215"/>
  <c r="L216"/>
  <c r="T216" s="1"/>
  <c r="M216"/>
  <c r="N216"/>
  <c r="O216"/>
  <c r="U216" s="1"/>
  <c r="P216"/>
  <c r="Q216"/>
  <c r="R216"/>
  <c r="S216"/>
  <c r="X216"/>
  <c r="X217" s="1"/>
  <c r="L217"/>
  <c r="T217" s="1"/>
  <c r="M217"/>
  <c r="N217"/>
  <c r="O217"/>
  <c r="U217" s="1"/>
  <c r="P217"/>
  <c r="Q217"/>
  <c r="L218"/>
  <c r="T218" s="1"/>
  <c r="V218" s="1"/>
  <c r="M218"/>
  <c r="N218"/>
  <c r="O218"/>
  <c r="U218" s="1"/>
  <c r="P218"/>
  <c r="Q218"/>
  <c r="L219"/>
  <c r="T219" s="1"/>
  <c r="V219" s="1"/>
  <c r="M219"/>
  <c r="N219"/>
  <c r="O219"/>
  <c r="U219" s="1"/>
  <c r="P219"/>
  <c r="Q219"/>
  <c r="L220"/>
  <c r="T220" s="1"/>
  <c r="M220"/>
  <c r="N220"/>
  <c r="O220"/>
  <c r="U220" s="1"/>
  <c r="P220"/>
  <c r="Q220"/>
  <c r="R220"/>
  <c r="S220"/>
  <c r="L221"/>
  <c r="T221" s="1"/>
  <c r="M221"/>
  <c r="N221"/>
  <c r="O221"/>
  <c r="U221" s="1"/>
  <c r="P221"/>
  <c r="Q221"/>
  <c r="R221"/>
  <c r="S221"/>
  <c r="L222"/>
  <c r="T222" s="1"/>
  <c r="M222"/>
  <c r="N222"/>
  <c r="O222"/>
  <c r="U222" s="1"/>
  <c r="P222"/>
  <c r="Q222"/>
  <c r="R222"/>
  <c r="S222"/>
  <c r="L223"/>
  <c r="T223" s="1"/>
  <c r="M223"/>
  <c r="N223"/>
  <c r="O223"/>
  <c r="U223" s="1"/>
  <c r="P223"/>
  <c r="Q223"/>
  <c r="R223"/>
  <c r="S223"/>
  <c r="M224"/>
  <c r="Q224"/>
  <c r="S224"/>
  <c r="D227"/>
  <c r="E227"/>
  <c r="F227"/>
  <c r="G227"/>
  <c r="H227"/>
  <c r="J227"/>
  <c r="T2" i="14"/>
  <c r="R11" i="33"/>
  <c r="Z7" i="14"/>
  <c r="L45"/>
  <c r="P45" s="1"/>
  <c r="L44"/>
  <c r="P44" s="1"/>
  <c r="L43"/>
  <c r="P43" s="1"/>
  <c r="L42"/>
  <c r="P42" s="1"/>
  <c r="L33"/>
  <c r="P33" s="1"/>
  <c r="L32"/>
  <c r="P32" s="1"/>
  <c r="L31"/>
  <c r="P31" s="1"/>
  <c r="L30"/>
  <c r="P30" s="1"/>
  <c r="R45"/>
  <c r="R44"/>
  <c r="R43"/>
  <c r="R42"/>
  <c r="R33"/>
  <c r="R32"/>
  <c r="R31"/>
  <c r="R30"/>
  <c r="M45"/>
  <c r="Q45" s="1"/>
  <c r="M44"/>
  <c r="O44" s="1"/>
  <c r="M43"/>
  <c r="Q43" s="1"/>
  <c r="M42"/>
  <c r="O42" s="1"/>
  <c r="M41"/>
  <c r="M40"/>
  <c r="M39"/>
  <c r="M38"/>
  <c r="M37"/>
  <c r="M36"/>
  <c r="M35"/>
  <c r="M34"/>
  <c r="M33"/>
  <c r="Q33" s="1"/>
  <c r="M32"/>
  <c r="O32" s="1"/>
  <c r="M31"/>
  <c r="Q31" s="1"/>
  <c r="M30"/>
  <c r="O30" s="1"/>
  <c r="M29"/>
  <c r="M28"/>
  <c r="M27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D96"/>
  <c r="Q96"/>
  <c r="R96"/>
  <c r="S96"/>
  <c r="D97"/>
  <c r="Q97"/>
  <c r="R97"/>
  <c r="S97"/>
  <c r="D98"/>
  <c r="Q98"/>
  <c r="R98"/>
  <c r="S98"/>
  <c r="D99"/>
  <c r="Q99"/>
  <c r="R99"/>
  <c r="S99"/>
  <c r="Q100"/>
  <c r="R100"/>
  <c r="Q101"/>
  <c r="R101"/>
  <c r="Q102"/>
  <c r="R102"/>
  <c r="Q103"/>
  <c r="R103"/>
  <c r="Q104"/>
  <c r="R104"/>
  <c r="D108"/>
  <c r="Q108"/>
  <c r="R108"/>
  <c r="S108"/>
  <c r="D109"/>
  <c r="Q109"/>
  <c r="R109"/>
  <c r="S109"/>
  <c r="D110"/>
  <c r="Q110"/>
  <c r="R110"/>
  <c r="S110"/>
  <c r="D111"/>
  <c r="Q111"/>
  <c r="R111"/>
  <c r="S111"/>
  <c r="D120"/>
  <c r="Q120"/>
  <c r="R120"/>
  <c r="S120"/>
  <c r="D121"/>
  <c r="Q121"/>
  <c r="R121"/>
  <c r="S121"/>
  <c r="D122"/>
  <c r="Q122"/>
  <c r="R122"/>
  <c r="S122"/>
  <c r="D123"/>
  <c r="Q123"/>
  <c r="R123"/>
  <c r="S123"/>
  <c r="K40" i="37"/>
  <c r="J40"/>
  <c r="K39"/>
  <c r="J39"/>
  <c r="K38"/>
  <c r="J38"/>
  <c r="K37"/>
  <c r="J37"/>
  <c r="K36"/>
  <c r="J36"/>
  <c r="K35"/>
  <c r="J35"/>
  <c r="K34"/>
  <c r="J34"/>
  <c r="F40"/>
  <c r="F39"/>
  <c r="F38"/>
  <c r="F37"/>
  <c r="F36"/>
  <c r="F35"/>
  <c r="F34"/>
  <c r="F33"/>
  <c r="F32"/>
  <c r="F31"/>
  <c r="F30"/>
  <c r="F29"/>
  <c r="F28"/>
  <c r="F27"/>
  <c r="C40"/>
  <c r="C39"/>
  <c r="E39" s="1"/>
  <c r="G39" s="1"/>
  <c r="C38"/>
  <c r="C37"/>
  <c r="E37" s="1"/>
  <c r="G37" s="1"/>
  <c r="C36"/>
  <c r="C35"/>
  <c r="C34"/>
  <c r="N3"/>
  <c r="N2"/>
  <c r="E6"/>
  <c r="G6" s="1"/>
  <c r="F6"/>
  <c r="E7"/>
  <c r="F7"/>
  <c r="E8"/>
  <c r="G8" s="1"/>
  <c r="F8"/>
  <c r="C9"/>
  <c r="E9" s="1"/>
  <c r="F9"/>
  <c r="C10"/>
  <c r="E10" s="1"/>
  <c r="G10" s="1"/>
  <c r="F10"/>
  <c r="C11"/>
  <c r="E11" s="1"/>
  <c r="F11"/>
  <c r="C12"/>
  <c r="E12" s="1"/>
  <c r="G12" s="1"/>
  <c r="F12"/>
  <c r="C13"/>
  <c r="E13" s="1"/>
  <c r="G13" s="1"/>
  <c r="F13"/>
  <c r="C14"/>
  <c r="E14" s="1"/>
  <c r="G14" s="1"/>
  <c r="F14"/>
  <c r="C15"/>
  <c r="E15" s="1"/>
  <c r="G15" s="1"/>
  <c r="F15"/>
  <c r="C16"/>
  <c r="E16" s="1"/>
  <c r="G16" s="1"/>
  <c r="F16"/>
  <c r="C17"/>
  <c r="E17" s="1"/>
  <c r="G17" s="1"/>
  <c r="F17"/>
  <c r="C18"/>
  <c r="E18" s="1"/>
  <c r="G18" s="1"/>
  <c r="F18"/>
  <c r="C19"/>
  <c r="E19" s="1"/>
  <c r="G19" s="1"/>
  <c r="F19"/>
  <c r="C20"/>
  <c r="E20" s="1"/>
  <c r="G20" s="1"/>
  <c r="F20"/>
  <c r="C21"/>
  <c r="E21" s="1"/>
  <c r="G21" s="1"/>
  <c r="F21"/>
  <c r="C22"/>
  <c r="E22" s="1"/>
  <c r="G22" s="1"/>
  <c r="F22"/>
  <c r="C23"/>
  <c r="E23" s="1"/>
  <c r="G23" s="1"/>
  <c r="F23"/>
  <c r="C24"/>
  <c r="E24" s="1"/>
  <c r="G24" s="1"/>
  <c r="F24"/>
  <c r="C25"/>
  <c r="E25" s="1"/>
  <c r="G25" s="1"/>
  <c r="F25"/>
  <c r="C26"/>
  <c r="E26" s="1"/>
  <c r="G26" s="1"/>
  <c r="F26"/>
  <c r="C27"/>
  <c r="E27" s="1"/>
  <c r="G27" s="1"/>
  <c r="C28"/>
  <c r="C29"/>
  <c r="C30"/>
  <c r="C31"/>
  <c r="E31" s="1"/>
  <c r="G31" s="1"/>
  <c r="C32"/>
  <c r="C33"/>
  <c r="E34" s="1"/>
  <c r="G34" s="1"/>
  <c r="E6" i="36"/>
  <c r="D6"/>
  <c r="E5"/>
  <c r="D5"/>
  <c r="E13"/>
  <c r="E12"/>
  <c r="E11"/>
  <c r="E10"/>
  <c r="E9"/>
  <c r="E8"/>
  <c r="E7"/>
  <c r="D13"/>
  <c r="D12"/>
  <c r="D11"/>
  <c r="D10"/>
  <c r="D9"/>
  <c r="D8"/>
  <c r="D7"/>
  <c r="O31" i="14" l="1"/>
  <c r="O43"/>
  <c r="E32" i="37"/>
  <c r="G32" s="1"/>
  <c r="E30"/>
  <c r="G30" s="1"/>
  <c r="E28"/>
  <c r="G28" s="1"/>
  <c r="G11"/>
  <c r="G9"/>
  <c r="G7"/>
  <c r="E38"/>
  <c r="G38" s="1"/>
  <c r="E40"/>
  <c r="G40" s="1"/>
  <c r="F41"/>
  <c r="O33" i="14"/>
  <c r="O45"/>
  <c r="K352" i="38"/>
  <c r="M352"/>
  <c r="U259"/>
  <c r="X259" s="1"/>
  <c r="W20" i="32"/>
  <c r="Q30" i="14"/>
  <c r="Q32"/>
  <c r="Q42"/>
  <c r="Q44"/>
  <c r="V223" i="38"/>
  <c r="V222"/>
  <c r="V221"/>
  <c r="V220"/>
  <c r="V216"/>
  <c r="V215"/>
  <c r="V214"/>
  <c r="E29" i="37"/>
  <c r="G29" s="1"/>
  <c r="E36"/>
  <c r="G36" s="1"/>
  <c r="O224" i="38"/>
  <c r="V224"/>
  <c r="W237"/>
  <c r="V213"/>
  <c r="V217"/>
  <c r="X263"/>
  <c r="X257" s="1"/>
  <c r="M40"/>
  <c r="M25"/>
  <c r="K349"/>
  <c r="T212"/>
  <c r="L40"/>
  <c r="L25"/>
  <c r="R225"/>
  <c r="Z213"/>
  <c r="X219"/>
  <c r="Z217"/>
  <c r="E35" i="37"/>
  <c r="E33"/>
  <c r="G33" s="1"/>
  <c r="F36" i="35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Q3" i="34"/>
  <c r="T6"/>
  <c r="U6"/>
  <c r="X6" s="1"/>
  <c r="T7"/>
  <c r="U7"/>
  <c r="T8"/>
  <c r="U8"/>
  <c r="V8" s="1"/>
  <c r="T9"/>
  <c r="U9"/>
  <c r="W9"/>
  <c r="T10"/>
  <c r="U10"/>
  <c r="T11"/>
  <c r="U11"/>
  <c r="T12"/>
  <c r="U12"/>
  <c r="V12" s="1"/>
  <c r="T13"/>
  <c r="U13"/>
  <c r="W13"/>
  <c r="T14"/>
  <c r="U14"/>
  <c r="T15"/>
  <c r="U15"/>
  <c r="T16"/>
  <c r="U16"/>
  <c r="V16" s="1"/>
  <c r="T17"/>
  <c r="U17"/>
  <c r="W17"/>
  <c r="T18"/>
  <c r="U18"/>
  <c r="T19"/>
  <c r="U19"/>
  <c r="T20"/>
  <c r="U20"/>
  <c r="W20"/>
  <c r="T21"/>
  <c r="U21"/>
  <c r="T22"/>
  <c r="U22"/>
  <c r="W22"/>
  <c r="B23"/>
  <c r="T23"/>
  <c r="U23"/>
  <c r="W23"/>
  <c r="B24"/>
  <c r="T24"/>
  <c r="U24"/>
  <c r="W24"/>
  <c r="B25"/>
  <c r="T25"/>
  <c r="U25"/>
  <c r="W25"/>
  <c r="B26"/>
  <c r="T26"/>
  <c r="U26"/>
  <c r="W26"/>
  <c r="B27"/>
  <c r="T27"/>
  <c r="U27"/>
  <c r="W27"/>
  <c r="B28"/>
  <c r="T28"/>
  <c r="U28"/>
  <c r="W28"/>
  <c r="B29"/>
  <c r="T29"/>
  <c r="U29"/>
  <c r="W29"/>
  <c r="B30"/>
  <c r="T30"/>
  <c r="U30"/>
  <c r="W30"/>
  <c r="B31"/>
  <c r="T31"/>
  <c r="U31"/>
  <c r="W31"/>
  <c r="B32"/>
  <c r="T32"/>
  <c r="U32"/>
  <c r="W32"/>
  <c r="B33"/>
  <c r="T33"/>
  <c r="U33"/>
  <c r="W33"/>
  <c r="B34"/>
  <c r="T34"/>
  <c r="U34"/>
  <c r="W34"/>
  <c r="B35"/>
  <c r="T35"/>
  <c r="U35"/>
  <c r="W35"/>
  <c r="B36"/>
  <c r="T36"/>
  <c r="U36"/>
  <c r="W36"/>
  <c r="B37"/>
  <c r="T37"/>
  <c r="U37"/>
  <c r="W37"/>
  <c r="B38"/>
  <c r="T38"/>
  <c r="U38"/>
  <c r="W38"/>
  <c r="B39"/>
  <c r="T39"/>
  <c r="U39"/>
  <c r="W39"/>
  <c r="B40"/>
  <c r="T40"/>
  <c r="U40"/>
  <c r="W40"/>
  <c r="B41"/>
  <c r="T41"/>
  <c r="U41"/>
  <c r="W41"/>
  <c r="B42"/>
  <c r="T42"/>
  <c r="U42"/>
  <c r="W42"/>
  <c r="B43"/>
  <c r="T43"/>
  <c r="U43"/>
  <c r="W43"/>
  <c r="B44"/>
  <c r="T44"/>
  <c r="U44"/>
  <c r="W44"/>
  <c r="B45"/>
  <c r="T45"/>
  <c r="U45"/>
  <c r="W45"/>
  <c r="B46"/>
  <c r="T46"/>
  <c r="U46"/>
  <c r="W46"/>
  <c r="B47"/>
  <c r="T47"/>
  <c r="U47"/>
  <c r="W47"/>
  <c r="T48"/>
  <c r="U48"/>
  <c r="T49"/>
  <c r="U49"/>
  <c r="W49"/>
  <c r="T50"/>
  <c r="U50"/>
  <c r="T51"/>
  <c r="U51"/>
  <c r="W51"/>
  <c r="T52"/>
  <c r="U52"/>
  <c r="W54"/>
  <c r="W58"/>
  <c r="W62"/>
  <c r="H73"/>
  <c r="H74"/>
  <c r="H75"/>
  <c r="H76"/>
  <c r="D79"/>
  <c r="E79"/>
  <c r="D80"/>
  <c r="E80"/>
  <c r="D81"/>
  <c r="E81"/>
  <c r="D82"/>
  <c r="E82"/>
  <c r="D83"/>
  <c r="E83"/>
  <c r="D84"/>
  <c r="E84"/>
  <c r="D85"/>
  <c r="E85"/>
  <c r="D86"/>
  <c r="E86"/>
  <c r="D87"/>
  <c r="E87"/>
  <c r="D88"/>
  <c r="E88"/>
  <c r="D89"/>
  <c r="E89"/>
  <c r="D90"/>
  <c r="E90"/>
  <c r="D91"/>
  <c r="E91"/>
  <c r="D92"/>
  <c r="E92"/>
  <c r="D93"/>
  <c r="E93"/>
  <c r="D94"/>
  <c r="E94"/>
  <c r="D95"/>
  <c r="E95"/>
  <c r="D96"/>
  <c r="E96"/>
  <c r="D97"/>
  <c r="E97"/>
  <c r="D98"/>
  <c r="E98"/>
  <c r="D99"/>
  <c r="E99"/>
  <c r="D100"/>
  <c r="E100"/>
  <c r="D101"/>
  <c r="E101"/>
  <c r="D102"/>
  <c r="E102"/>
  <c r="D103"/>
  <c r="E103"/>
  <c r="D104"/>
  <c r="E104"/>
  <c r="D105"/>
  <c r="E105"/>
  <c r="D106"/>
  <c r="E106"/>
  <c r="D107"/>
  <c r="E107"/>
  <c r="D108"/>
  <c r="E108"/>
  <c r="D109"/>
  <c r="E109"/>
  <c r="D110"/>
  <c r="E110"/>
  <c r="D111"/>
  <c r="E111"/>
  <c r="D112"/>
  <c r="E112"/>
  <c r="D113"/>
  <c r="E113"/>
  <c r="D114"/>
  <c r="E114"/>
  <c r="D115"/>
  <c r="E115"/>
  <c r="D116"/>
  <c r="E116"/>
  <c r="D117"/>
  <c r="E117"/>
  <c r="D118"/>
  <c r="E118"/>
  <c r="D119"/>
  <c r="E119"/>
  <c r="D120"/>
  <c r="E120"/>
  <c r="D121"/>
  <c r="E121"/>
  <c r="D122"/>
  <c r="E122"/>
  <c r="D123"/>
  <c r="E123"/>
  <c r="D124"/>
  <c r="E124"/>
  <c r="D125"/>
  <c r="E125"/>
  <c r="D126"/>
  <c r="E126"/>
  <c r="D127"/>
  <c r="E127"/>
  <c r="D128"/>
  <c r="E128"/>
  <c r="D129"/>
  <c r="E129"/>
  <c r="D130"/>
  <c r="E130"/>
  <c r="D131"/>
  <c r="E131"/>
  <c r="D132"/>
  <c r="E132"/>
  <c r="D133"/>
  <c r="E133"/>
  <c r="D134"/>
  <c r="E134"/>
  <c r="D135"/>
  <c r="E135"/>
  <c r="AA18" i="32"/>
  <c r="AA17"/>
  <c r="AA16"/>
  <c r="AA15"/>
  <c r="AA14"/>
  <c r="AA13"/>
  <c r="AA12"/>
  <c r="AA11"/>
  <c r="AA10"/>
  <c r="AA9"/>
  <c r="AA8"/>
  <c r="AA7"/>
  <c r="AA6"/>
  <c r="Z18"/>
  <c r="Z17"/>
  <c r="Z16"/>
  <c r="Z15"/>
  <c r="Z14"/>
  <c r="Z13"/>
  <c r="Z12"/>
  <c r="Z11"/>
  <c r="Z10"/>
  <c r="Z9"/>
  <c r="Z8"/>
  <c r="Z7"/>
  <c r="Z6"/>
  <c r="Y18"/>
  <c r="Y17"/>
  <c r="Y16"/>
  <c r="Y15"/>
  <c r="Y9"/>
  <c r="Y8"/>
  <c r="Y7"/>
  <c r="Y6"/>
  <c r="L14" i="33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S15"/>
  <c r="J9"/>
  <c r="K9"/>
  <c r="I169" i="32"/>
  <c r="W7"/>
  <c r="W8"/>
  <c r="W9"/>
  <c r="W15"/>
  <c r="W16"/>
  <c r="W17"/>
  <c r="W18"/>
  <c r="W6"/>
  <c r="R9" i="33"/>
  <c r="X35" i="32"/>
  <c r="W35"/>
  <c r="V35"/>
  <c r="U35"/>
  <c r="T35"/>
  <c r="X1"/>
  <c r="V1"/>
  <c r="F27" i="33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S1"/>
  <c r="J27"/>
  <c r="J26"/>
  <c r="J25"/>
  <c r="J24"/>
  <c r="J23"/>
  <c r="J22"/>
  <c r="J21"/>
  <c r="J20"/>
  <c r="J19"/>
  <c r="J18"/>
  <c r="J17"/>
  <c r="J16"/>
  <c r="J15"/>
  <c r="J14"/>
  <c r="J1"/>
  <c r="G4"/>
  <c r="G5"/>
  <c r="G6"/>
  <c r="G7"/>
  <c r="G8"/>
  <c r="G9"/>
  <c r="G10"/>
  <c r="G11"/>
  <c r="G12"/>
  <c r="G13"/>
  <c r="G14"/>
  <c r="K14" s="1"/>
  <c r="H14"/>
  <c r="G15"/>
  <c r="K15" s="1"/>
  <c r="H15"/>
  <c r="G16"/>
  <c r="K16" s="1"/>
  <c r="H16"/>
  <c r="G17"/>
  <c r="K17" s="1"/>
  <c r="H17"/>
  <c r="G18"/>
  <c r="K18" s="1"/>
  <c r="H18"/>
  <c r="G19"/>
  <c r="K19" s="1"/>
  <c r="H19"/>
  <c r="G20"/>
  <c r="K20" s="1"/>
  <c r="H20"/>
  <c r="G21"/>
  <c r="K21" s="1"/>
  <c r="H21"/>
  <c r="G22"/>
  <c r="K22" s="1"/>
  <c r="H22"/>
  <c r="G23"/>
  <c r="K23" s="1"/>
  <c r="H23"/>
  <c r="G24"/>
  <c r="K24" s="1"/>
  <c r="H24"/>
  <c r="G25"/>
  <c r="K25" s="1"/>
  <c r="H25"/>
  <c r="G26"/>
  <c r="K26" s="1"/>
  <c r="H26"/>
  <c r="G27"/>
  <c r="K27" s="1"/>
  <c r="H27"/>
  <c r="T3" i="32"/>
  <c r="D7"/>
  <c r="E7"/>
  <c r="G7"/>
  <c r="L7"/>
  <c r="O7"/>
  <c r="Q7" s="1"/>
  <c r="D8"/>
  <c r="E8"/>
  <c r="G8"/>
  <c r="L8"/>
  <c r="D9"/>
  <c r="E9"/>
  <c r="G9"/>
  <c r="J9"/>
  <c r="L9"/>
  <c r="M9"/>
  <c r="M10" s="1"/>
  <c r="D10"/>
  <c r="E10"/>
  <c r="G10"/>
  <c r="J10"/>
  <c r="L10"/>
  <c r="D11"/>
  <c r="E11"/>
  <c r="G11"/>
  <c r="J11"/>
  <c r="L11"/>
  <c r="AB11"/>
  <c r="AB12" s="1"/>
  <c r="D12"/>
  <c r="E12"/>
  <c r="G12"/>
  <c r="J12"/>
  <c r="L12"/>
  <c r="O12"/>
  <c r="D13"/>
  <c r="E13"/>
  <c r="G13"/>
  <c r="J13"/>
  <c r="L13"/>
  <c r="I15"/>
  <c r="M16"/>
  <c r="F1" i="31"/>
  <c r="F7" s="1"/>
  <c r="H7" s="1"/>
  <c r="D5"/>
  <c r="D6"/>
  <c r="F6" s="1"/>
  <c r="D7"/>
  <c r="E7"/>
  <c r="D8"/>
  <c r="E8"/>
  <c r="F8"/>
  <c r="H8" s="1"/>
  <c r="D9"/>
  <c r="F9" s="1"/>
  <c r="H9" s="1"/>
  <c r="D10"/>
  <c r="E10"/>
  <c r="F10"/>
  <c r="H10" s="1"/>
  <c r="D11"/>
  <c r="E11"/>
  <c r="F11"/>
  <c r="H11" s="1"/>
  <c r="D12"/>
  <c r="F12" s="1"/>
  <c r="H12" s="1"/>
  <c r="D13"/>
  <c r="E13"/>
  <c r="F13"/>
  <c r="H13" s="1"/>
  <c r="D14"/>
  <c r="E14"/>
  <c r="F14"/>
  <c r="H14" s="1"/>
  <c r="D15"/>
  <c r="E15"/>
  <c r="F15"/>
  <c r="H15" s="1"/>
  <c r="D16"/>
  <c r="E16"/>
  <c r="F16"/>
  <c r="H16" s="1"/>
  <c r="D17"/>
  <c r="E17"/>
  <c r="F17"/>
  <c r="H17" s="1"/>
  <c r="D18"/>
  <c r="E18"/>
  <c r="F18"/>
  <c r="H18" s="1"/>
  <c r="D19"/>
  <c r="E19"/>
  <c r="F19"/>
  <c r="H19" s="1"/>
  <c r="D20"/>
  <c r="E20"/>
  <c r="F20"/>
  <c r="H20" s="1"/>
  <c r="R17"/>
  <c r="R19" s="1"/>
  <c r="R21" s="1"/>
  <c r="R22" s="1"/>
  <c r="D21"/>
  <c r="E21"/>
  <c r="F21"/>
  <c r="H21" s="1"/>
  <c r="D22"/>
  <c r="E22"/>
  <c r="F22"/>
  <c r="H22" s="1"/>
  <c r="D23"/>
  <c r="E23"/>
  <c r="F23"/>
  <c r="H23" s="1"/>
  <c r="J17"/>
  <c r="J18"/>
  <c r="D24"/>
  <c r="E24"/>
  <c r="F24"/>
  <c r="H24" s="1"/>
  <c r="D25"/>
  <c r="E25"/>
  <c r="F25"/>
  <c r="H25" s="1"/>
  <c r="D26"/>
  <c r="E26"/>
  <c r="F26"/>
  <c r="H26" s="1"/>
  <c r="D27"/>
  <c r="E27"/>
  <c r="F27"/>
  <c r="H27" s="1"/>
  <c r="D28"/>
  <c r="E28"/>
  <c r="F28"/>
  <c r="H28" s="1"/>
  <c r="D29"/>
  <c r="E29"/>
  <c r="F29"/>
  <c r="H29" s="1"/>
  <c r="D30"/>
  <c r="E30"/>
  <c r="F30"/>
  <c r="H30" s="1"/>
  <c r="D31"/>
  <c r="E31"/>
  <c r="F31"/>
  <c r="H31" s="1"/>
  <c r="D32"/>
  <c r="E32"/>
  <c r="F32"/>
  <c r="H32" s="1"/>
  <c r="D33"/>
  <c r="E33"/>
  <c r="F33"/>
  <c r="H33" s="1"/>
  <c r="D34"/>
  <c r="E34"/>
  <c r="F34"/>
  <c r="H34" s="1"/>
  <c r="D35"/>
  <c r="E35"/>
  <c r="F35"/>
  <c r="H35" s="1"/>
  <c r="D36"/>
  <c r="E36"/>
  <c r="F36"/>
  <c r="H36" s="1"/>
  <c r="D37"/>
  <c r="E37"/>
  <c r="F37"/>
  <c r="H37" s="1"/>
  <c r="D38"/>
  <c r="E38"/>
  <c r="F38"/>
  <c r="H38" s="1"/>
  <c r="D39"/>
  <c r="E39"/>
  <c r="F39"/>
  <c r="H39" s="1"/>
  <c r="D40"/>
  <c r="E40"/>
  <c r="F40"/>
  <c r="H40" s="1"/>
  <c r="D41"/>
  <c r="E41"/>
  <c r="F41"/>
  <c r="H41" s="1"/>
  <c r="D42"/>
  <c r="E42"/>
  <c r="F42"/>
  <c r="H42" s="1"/>
  <c r="D43"/>
  <c r="E43"/>
  <c r="F43"/>
  <c r="H43" s="1"/>
  <c r="D44"/>
  <c r="E44"/>
  <c r="F44"/>
  <c r="H44" s="1"/>
  <c r="D45"/>
  <c r="E45"/>
  <c r="F45"/>
  <c r="H45" s="1"/>
  <c r="D46"/>
  <c r="E46"/>
  <c r="F46"/>
  <c r="H46" s="1"/>
  <c r="D47"/>
  <c r="E47"/>
  <c r="F47"/>
  <c r="H47" s="1"/>
  <c r="D48"/>
  <c r="E48"/>
  <c r="F48"/>
  <c r="H48" s="1"/>
  <c r="D49"/>
  <c r="E49"/>
  <c r="F49"/>
  <c r="H49" s="1"/>
  <c r="D50"/>
  <c r="E50"/>
  <c r="F50"/>
  <c r="H50" s="1"/>
  <c r="D51"/>
  <c r="E51"/>
  <c r="F51"/>
  <c r="H51" s="1"/>
  <c r="D52"/>
  <c r="E52"/>
  <c r="F52"/>
  <c r="H52" s="1"/>
  <c r="D53"/>
  <c r="E53"/>
  <c r="F53"/>
  <c r="H53" s="1"/>
  <c r="D54"/>
  <c r="E54"/>
  <c r="F54"/>
  <c r="H54" s="1"/>
  <c r="D55"/>
  <c r="E55"/>
  <c r="F55"/>
  <c r="H55" s="1"/>
  <c r="D56"/>
  <c r="E56"/>
  <c r="F56"/>
  <c r="H56" s="1"/>
  <c r="D57"/>
  <c r="E57"/>
  <c r="F57"/>
  <c r="H57" s="1"/>
  <c r="D58"/>
  <c r="E58"/>
  <c r="F58"/>
  <c r="H58" s="1"/>
  <c r="D59"/>
  <c r="E59"/>
  <c r="F59"/>
  <c r="H59" s="1"/>
  <c r="D60"/>
  <c r="E60"/>
  <c r="F60"/>
  <c r="H60" s="1"/>
  <c r="D61"/>
  <c r="E61"/>
  <c r="F61"/>
  <c r="H61" s="1"/>
  <c r="B62"/>
  <c r="B63" s="1"/>
  <c r="D62"/>
  <c r="E62"/>
  <c r="F62"/>
  <c r="H62" s="1"/>
  <c r="K62"/>
  <c r="D63"/>
  <c r="F63" s="1"/>
  <c r="H63" s="1"/>
  <c r="B64"/>
  <c r="D64"/>
  <c r="E64"/>
  <c r="F64"/>
  <c r="H64" s="1"/>
  <c r="B65"/>
  <c r="D65"/>
  <c r="E65"/>
  <c r="F65"/>
  <c r="H65" s="1"/>
  <c r="B66"/>
  <c r="D66"/>
  <c r="E66"/>
  <c r="F66"/>
  <c r="H66" s="1"/>
  <c r="B67"/>
  <c r="D67"/>
  <c r="E67"/>
  <c r="F67"/>
  <c r="H67" s="1"/>
  <c r="B68"/>
  <c r="D68"/>
  <c r="E68"/>
  <c r="F68"/>
  <c r="H68" s="1"/>
  <c r="B69"/>
  <c r="D69"/>
  <c r="E69"/>
  <c r="F69"/>
  <c r="H69" s="1"/>
  <c r="B70"/>
  <c r="D70"/>
  <c r="E70"/>
  <c r="F70"/>
  <c r="H70" s="1"/>
  <c r="A1" i="30"/>
  <c r="G2"/>
  <c r="L3"/>
  <c r="L4" s="1"/>
  <c r="R4"/>
  <c r="L5"/>
  <c r="F6"/>
  <c r="F7"/>
  <c r="R7"/>
  <c r="F8"/>
  <c r="O8"/>
  <c r="R8"/>
  <c r="F9"/>
  <c r="R9"/>
  <c r="F10"/>
  <c r="P10"/>
  <c r="Q10"/>
  <c r="R10" s="1"/>
  <c r="P12" s="1"/>
  <c r="F11"/>
  <c r="P11"/>
  <c r="N11" s="1"/>
  <c r="F12"/>
  <c r="F13"/>
  <c r="F14"/>
  <c r="F15"/>
  <c r="F16"/>
  <c r="F17"/>
  <c r="F18"/>
  <c r="F19"/>
  <c r="F20"/>
  <c r="F21"/>
  <c r="F22"/>
  <c r="F23"/>
  <c r="F24"/>
  <c r="F25"/>
  <c r="C26"/>
  <c r="E26" s="1"/>
  <c r="F26"/>
  <c r="F27"/>
  <c r="F28"/>
  <c r="F29"/>
  <c r="F30"/>
  <c r="F31"/>
  <c r="F32"/>
  <c r="F33"/>
  <c r="C34"/>
  <c r="E34" s="1"/>
  <c r="F34"/>
  <c r="F35"/>
  <c r="F36"/>
  <c r="F37"/>
  <c r="F38"/>
  <c r="F39"/>
  <c r="F40"/>
  <c r="F41"/>
  <c r="C42"/>
  <c r="E42" s="1"/>
  <c r="F42"/>
  <c r="F43"/>
  <c r="F44"/>
  <c r="F45"/>
  <c r="F46"/>
  <c r="F47"/>
  <c r="F48"/>
  <c r="F49"/>
  <c r="C50"/>
  <c r="E50" s="1"/>
  <c r="F50"/>
  <c r="F51"/>
  <c r="F52"/>
  <c r="F53"/>
  <c r="F54"/>
  <c r="F55"/>
  <c r="F56"/>
  <c r="F57"/>
  <c r="C58"/>
  <c r="E58" s="1"/>
  <c r="F58"/>
  <c r="F59"/>
  <c r="F60"/>
  <c r="F61"/>
  <c r="F62"/>
  <c r="F63"/>
  <c r="F64"/>
  <c r="F65"/>
  <c r="C66"/>
  <c r="E66" s="1"/>
  <c r="F66"/>
  <c r="F67"/>
  <c r="F68"/>
  <c r="F69"/>
  <c r="F70"/>
  <c r="F71"/>
  <c r="F72"/>
  <c r="F73"/>
  <c r="C74"/>
  <c r="E74" s="1"/>
  <c r="F74"/>
  <c r="F75"/>
  <c r="F76"/>
  <c r="F77"/>
  <c r="F78"/>
  <c r="F79"/>
  <c r="F80"/>
  <c r="F81"/>
  <c r="C82"/>
  <c r="E82" s="1"/>
  <c r="F82"/>
  <c r="F83"/>
  <c r="F84"/>
  <c r="F85"/>
  <c r="F86"/>
  <c r="F87"/>
  <c r="F88"/>
  <c r="F89"/>
  <c r="C90"/>
  <c r="E90" s="1"/>
  <c r="F90"/>
  <c r="F91"/>
  <c r="F92"/>
  <c r="F93"/>
  <c r="F94"/>
  <c r="F95"/>
  <c r="F96"/>
  <c r="F97"/>
  <c r="F98"/>
  <c r="F99"/>
  <c r="F100"/>
  <c r="F101"/>
  <c r="C102"/>
  <c r="E102" s="1"/>
  <c r="F102"/>
  <c r="C103"/>
  <c r="E103" s="1"/>
  <c r="F103"/>
  <c r="F104"/>
  <c r="F105"/>
  <c r="F106"/>
  <c r="F107"/>
  <c r="F108"/>
  <c r="F109"/>
  <c r="C110"/>
  <c r="E110" s="1"/>
  <c r="F110"/>
  <c r="C111"/>
  <c r="E111" s="1"/>
  <c r="F111"/>
  <c r="F112"/>
  <c r="F113"/>
  <c r="F114"/>
  <c r="F115"/>
  <c r="F116"/>
  <c r="F117"/>
  <c r="C118"/>
  <c r="E118" s="1"/>
  <c r="F118"/>
  <c r="C119"/>
  <c r="E119" s="1"/>
  <c r="F119"/>
  <c r="F120"/>
  <c r="F121"/>
  <c r="F122"/>
  <c r="F123"/>
  <c r="F124"/>
  <c r="F125"/>
  <c r="C126"/>
  <c r="E126" s="1"/>
  <c r="F126"/>
  <c r="C127"/>
  <c r="E127" s="1"/>
  <c r="F127"/>
  <c r="F128"/>
  <c r="F129"/>
  <c r="F130"/>
  <c r="F131"/>
  <c r="F132"/>
  <c r="F133"/>
  <c r="C134"/>
  <c r="E134" s="1"/>
  <c r="F134"/>
  <c r="C135"/>
  <c r="E135" s="1"/>
  <c r="F135"/>
  <c r="F136"/>
  <c r="F137"/>
  <c r="F138"/>
  <c r="F139"/>
  <c r="F140"/>
  <c r="F141"/>
  <c r="C142"/>
  <c r="E142" s="1"/>
  <c r="F142"/>
  <c r="C143"/>
  <c r="E143" s="1"/>
  <c r="F143"/>
  <c r="F144"/>
  <c r="F145"/>
  <c r="F146"/>
  <c r="F147"/>
  <c r="F148"/>
  <c r="H146" s="1"/>
  <c r="F149"/>
  <c r="C150"/>
  <c r="E150" s="1"/>
  <c r="F150"/>
  <c r="C151"/>
  <c r="E151" s="1"/>
  <c r="F151"/>
  <c r="C152"/>
  <c r="E152" s="1"/>
  <c r="F152"/>
  <c r="F153"/>
  <c r="H151" s="1"/>
  <c r="F154"/>
  <c r="C155"/>
  <c r="E155" s="1"/>
  <c r="F155"/>
  <c r="C156"/>
  <c r="E156" s="1"/>
  <c r="F156"/>
  <c r="C157"/>
  <c r="E157" s="1"/>
  <c r="F157"/>
  <c r="F158"/>
  <c r="F159"/>
  <c r="C160"/>
  <c r="E160" s="1"/>
  <c r="F160"/>
  <c r="C161"/>
  <c r="E161" s="1"/>
  <c r="F161"/>
  <c r="F162"/>
  <c r="F163"/>
  <c r="C164"/>
  <c r="E164" s="1"/>
  <c r="F164"/>
  <c r="C165"/>
  <c r="E165" s="1"/>
  <c r="F165"/>
  <c r="F166"/>
  <c r="F167"/>
  <c r="C168"/>
  <c r="E168" s="1"/>
  <c r="F168"/>
  <c r="C169"/>
  <c r="E169" s="1"/>
  <c r="F169"/>
  <c r="F170"/>
  <c r="F171"/>
  <c r="C172"/>
  <c r="E172" s="1"/>
  <c r="F172"/>
  <c r="C173"/>
  <c r="E173" s="1"/>
  <c r="F173"/>
  <c r="C174"/>
  <c r="E174" s="1"/>
  <c r="F174"/>
  <c r="C175"/>
  <c r="E175" s="1"/>
  <c r="F175"/>
  <c r="C176"/>
  <c r="E176" s="1"/>
  <c r="F176"/>
  <c r="C177"/>
  <c r="E177" s="1"/>
  <c r="F177"/>
  <c r="C178"/>
  <c r="E178" s="1"/>
  <c r="F178"/>
  <c r="C179"/>
  <c r="E179"/>
  <c r="F179"/>
  <c r="C180"/>
  <c r="E180" s="1"/>
  <c r="F180"/>
  <c r="C181"/>
  <c r="E181" s="1"/>
  <c r="F181"/>
  <c r="C182"/>
  <c r="E182" s="1"/>
  <c r="F182"/>
  <c r="C183"/>
  <c r="E183" s="1"/>
  <c r="F183"/>
  <c r="C184"/>
  <c r="E184" s="1"/>
  <c r="F184"/>
  <c r="C185"/>
  <c r="E185" s="1"/>
  <c r="F185"/>
  <c r="C186"/>
  <c r="E186" s="1"/>
  <c r="F186"/>
  <c r="C187"/>
  <c r="E187"/>
  <c r="F187"/>
  <c r="C188"/>
  <c r="E188" s="1"/>
  <c r="F188"/>
  <c r="C189"/>
  <c r="E189" s="1"/>
  <c r="F189"/>
  <c r="C190"/>
  <c r="E190" s="1"/>
  <c r="F190"/>
  <c r="C191"/>
  <c r="E191" s="1"/>
  <c r="F191"/>
  <c r="C192"/>
  <c r="E192" s="1"/>
  <c r="F192"/>
  <c r="C193"/>
  <c r="E193" s="1"/>
  <c r="F193"/>
  <c r="C194"/>
  <c r="E194" s="1"/>
  <c r="F194"/>
  <c r="C195"/>
  <c r="E195"/>
  <c r="F195"/>
  <c r="C196"/>
  <c r="E196" s="1"/>
  <c r="F196"/>
  <c r="C197"/>
  <c r="E197" s="1"/>
  <c r="F197"/>
  <c r="C198"/>
  <c r="E198" s="1"/>
  <c r="F198"/>
  <c r="C199"/>
  <c r="E199" s="1"/>
  <c r="F199"/>
  <c r="C200"/>
  <c r="E200" s="1"/>
  <c r="F200"/>
  <c r="C201"/>
  <c r="E201" s="1"/>
  <c r="F201"/>
  <c r="C202"/>
  <c r="E202" s="1"/>
  <c r="F202"/>
  <c r="C203"/>
  <c r="E203"/>
  <c r="F203"/>
  <c r="C204"/>
  <c r="E204" s="1"/>
  <c r="F204"/>
  <c r="C205"/>
  <c r="E205" s="1"/>
  <c r="F205"/>
  <c r="C206"/>
  <c r="E206" s="1"/>
  <c r="F206"/>
  <c r="C207"/>
  <c r="E207" s="1"/>
  <c r="F207"/>
  <c r="C208"/>
  <c r="E208" s="1"/>
  <c r="F208"/>
  <c r="C209"/>
  <c r="E209" s="1"/>
  <c r="F209"/>
  <c r="C210"/>
  <c r="E210" s="1"/>
  <c r="F210"/>
  <c r="C211"/>
  <c r="E211"/>
  <c r="F211"/>
  <c r="C212"/>
  <c r="E212" s="1"/>
  <c r="F212"/>
  <c r="C213"/>
  <c r="E213" s="1"/>
  <c r="F213"/>
  <c r="C214"/>
  <c r="E214" s="1"/>
  <c r="F214"/>
  <c r="C215"/>
  <c r="E215" s="1"/>
  <c r="F215"/>
  <c r="C216"/>
  <c r="E216" s="1"/>
  <c r="F216"/>
  <c r="C217"/>
  <c r="E217" s="1"/>
  <c r="F217"/>
  <c r="C218"/>
  <c r="E218" s="1"/>
  <c r="F218"/>
  <c r="C219"/>
  <c r="E219"/>
  <c r="F219"/>
  <c r="C220"/>
  <c r="E220" s="1"/>
  <c r="F220"/>
  <c r="C221"/>
  <c r="E221" s="1"/>
  <c r="F221"/>
  <c r="C222"/>
  <c r="E222" s="1"/>
  <c r="F222"/>
  <c r="C223"/>
  <c r="E223" s="1"/>
  <c r="F223"/>
  <c r="C224"/>
  <c r="E224" s="1"/>
  <c r="F224"/>
  <c r="C225"/>
  <c r="E225" s="1"/>
  <c r="F225"/>
  <c r="C226"/>
  <c r="E226" s="1"/>
  <c r="F226"/>
  <c r="C227"/>
  <c r="E227"/>
  <c r="F227"/>
  <c r="C228"/>
  <c r="E228" s="1"/>
  <c r="F228"/>
  <c r="C229"/>
  <c r="E229" s="1"/>
  <c r="F229"/>
  <c r="C230"/>
  <c r="E230" s="1"/>
  <c r="F230"/>
  <c r="C231"/>
  <c r="E231" s="1"/>
  <c r="F231"/>
  <c r="C232"/>
  <c r="E232" s="1"/>
  <c r="F232"/>
  <c r="C233"/>
  <c r="E233" s="1"/>
  <c r="F233"/>
  <c r="C234"/>
  <c r="E234" s="1"/>
  <c r="F234"/>
  <c r="C235"/>
  <c r="E235"/>
  <c r="F235"/>
  <c r="C236"/>
  <c r="E236" s="1"/>
  <c r="F236"/>
  <c r="C237"/>
  <c r="E237" s="1"/>
  <c r="F237"/>
  <c r="C238"/>
  <c r="E238" s="1"/>
  <c r="F238"/>
  <c r="C239"/>
  <c r="E239" s="1"/>
  <c r="F239"/>
  <c r="C240"/>
  <c r="E240" s="1"/>
  <c r="F240"/>
  <c r="C241"/>
  <c r="E241" s="1"/>
  <c r="F241"/>
  <c r="C242"/>
  <c r="E242" s="1"/>
  <c r="F242"/>
  <c r="H240" s="1"/>
  <c r="C243"/>
  <c r="E243"/>
  <c r="F243"/>
  <c r="C244"/>
  <c r="E244" s="1"/>
  <c r="F244"/>
  <c r="C245"/>
  <c r="E245" s="1"/>
  <c r="F245"/>
  <c r="C246"/>
  <c r="E246" s="1"/>
  <c r="F246"/>
  <c r="C247"/>
  <c r="E247" s="1"/>
  <c r="F247"/>
  <c r="C248"/>
  <c r="E248" s="1"/>
  <c r="F248"/>
  <c r="C249"/>
  <c r="E249" s="1"/>
  <c r="F249"/>
  <c r="C250"/>
  <c r="E250" s="1"/>
  <c r="F250"/>
  <c r="H248" s="1"/>
  <c r="C251"/>
  <c r="E251"/>
  <c r="F251"/>
  <c r="C252"/>
  <c r="E252" s="1"/>
  <c r="F252"/>
  <c r="C253"/>
  <c r="E253" s="1"/>
  <c r="F253"/>
  <c r="C254"/>
  <c r="E254" s="1"/>
  <c r="F254"/>
  <c r="C255"/>
  <c r="E255" s="1"/>
  <c r="F255"/>
  <c r="C256"/>
  <c r="E256" s="1"/>
  <c r="F256"/>
  <c r="C257"/>
  <c r="E257" s="1"/>
  <c r="F257"/>
  <c r="C258"/>
  <c r="E258" s="1"/>
  <c r="F258"/>
  <c r="H256" s="1"/>
  <c r="C259"/>
  <c r="E259"/>
  <c r="F259"/>
  <c r="C260"/>
  <c r="E260" s="1"/>
  <c r="C261"/>
  <c r="E261" s="1"/>
  <c r="C262"/>
  <c r="E262" s="1"/>
  <c r="C263"/>
  <c r="E263" s="1"/>
  <c r="C264"/>
  <c r="E264" s="1"/>
  <c r="C265"/>
  <c r="E265" s="1"/>
  <c r="C266"/>
  <c r="E266" s="1"/>
  <c r="C267"/>
  <c r="E267" s="1"/>
  <c r="C268"/>
  <c r="E268" s="1"/>
  <c r="C269"/>
  <c r="E269" s="1"/>
  <c r="C270"/>
  <c r="E270" s="1"/>
  <c r="C271"/>
  <c r="E271" s="1"/>
  <c r="C272"/>
  <c r="E272" s="1"/>
  <c r="C273"/>
  <c r="E273" s="1"/>
  <c r="C274"/>
  <c r="E274" s="1"/>
  <c r="C275"/>
  <c r="E275" s="1"/>
  <c r="C276"/>
  <c r="E276" s="1"/>
  <c r="C277"/>
  <c r="E277" s="1"/>
  <c r="C278"/>
  <c r="E278" s="1"/>
  <c r="C279"/>
  <c r="E279" s="1"/>
  <c r="C280"/>
  <c r="E280" s="1"/>
  <c r="F280"/>
  <c r="C281"/>
  <c r="E281" s="1"/>
  <c r="C282"/>
  <c r="E282" s="1"/>
  <c r="C283"/>
  <c r="E283" s="1"/>
  <c r="C284"/>
  <c r="E284" s="1"/>
  <c r="C285"/>
  <c r="E285" s="1"/>
  <c r="C286"/>
  <c r="E286" s="1"/>
  <c r="C287"/>
  <c r="E287" s="1"/>
  <c r="C288"/>
  <c r="E288" s="1"/>
  <c r="C289"/>
  <c r="E289" s="1"/>
  <c r="C290"/>
  <c r="E290" s="1"/>
  <c r="C291"/>
  <c r="E291" s="1"/>
  <c r="C292"/>
  <c r="E292" s="1"/>
  <c r="C293"/>
  <c r="E293" s="1"/>
  <c r="C294"/>
  <c r="E294" s="1"/>
  <c r="F294"/>
  <c r="C295"/>
  <c r="E295" s="1"/>
  <c r="C296"/>
  <c r="E296" s="1"/>
  <c r="C297"/>
  <c r="E297" s="1"/>
  <c r="C298"/>
  <c r="E298" s="1"/>
  <c r="F298"/>
  <c r="C299"/>
  <c r="E299" s="1"/>
  <c r="F299"/>
  <c r="C300"/>
  <c r="E300" s="1"/>
  <c r="F300"/>
  <c r="C301"/>
  <c r="E301" s="1"/>
  <c r="C302"/>
  <c r="E302" s="1"/>
  <c r="C303"/>
  <c r="E303" s="1"/>
  <c r="C304"/>
  <c r="E304" s="1"/>
  <c r="C305"/>
  <c r="E305" s="1"/>
  <c r="C306"/>
  <c r="E306" s="1"/>
  <c r="C307"/>
  <c r="E307" s="1"/>
  <c r="C308"/>
  <c r="E308" s="1"/>
  <c r="C309"/>
  <c r="E309" s="1"/>
  <c r="C310"/>
  <c r="E310" s="1"/>
  <c r="C311"/>
  <c r="E311" s="1"/>
  <c r="F311"/>
  <c r="C312"/>
  <c r="E312" s="1"/>
  <c r="F312"/>
  <c r="C313"/>
  <c r="E313" s="1"/>
  <c r="C314"/>
  <c r="E314" s="1"/>
  <c r="C315"/>
  <c r="E315" s="1"/>
  <c r="C316"/>
  <c r="E316" s="1"/>
  <c r="C317"/>
  <c r="E317" s="1"/>
  <c r="C318"/>
  <c r="E318" s="1"/>
  <c r="C319"/>
  <c r="E319" s="1"/>
  <c r="C320"/>
  <c r="E320" s="1"/>
  <c r="C321"/>
  <c r="E321" s="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V18" i="34" l="1"/>
  <c r="X18"/>
  <c r="V14"/>
  <c r="X14"/>
  <c r="V10"/>
  <c r="X10"/>
  <c r="W8"/>
  <c r="W53"/>
  <c r="W55"/>
  <c r="W57"/>
  <c r="W59"/>
  <c r="W61"/>
  <c r="W63"/>
  <c r="G227" i="30"/>
  <c r="G219"/>
  <c r="G211"/>
  <c r="G203"/>
  <c r="G195"/>
  <c r="W64" i="34"/>
  <c r="W60"/>
  <c r="W56"/>
  <c r="W52"/>
  <c r="V51"/>
  <c r="X51"/>
  <c r="W50"/>
  <c r="V49"/>
  <c r="X49"/>
  <c r="W48"/>
  <c r="V47"/>
  <c r="X47"/>
  <c r="V46"/>
  <c r="X46"/>
  <c r="V45"/>
  <c r="X45"/>
  <c r="V44"/>
  <c r="X44"/>
  <c r="V43"/>
  <c r="X43"/>
  <c r="V42"/>
  <c r="X42"/>
  <c r="V41"/>
  <c r="X41"/>
  <c r="V40"/>
  <c r="X40"/>
  <c r="V39"/>
  <c r="X39"/>
  <c r="V38"/>
  <c r="X38"/>
  <c r="V37"/>
  <c r="X37"/>
  <c r="V36"/>
  <c r="X36"/>
  <c r="V35"/>
  <c r="X35"/>
  <c r="V34"/>
  <c r="X34"/>
  <c r="V33"/>
  <c r="X33"/>
  <c r="V32"/>
  <c r="X32"/>
  <c r="V31"/>
  <c r="X31"/>
  <c r="V30"/>
  <c r="X30"/>
  <c r="V29"/>
  <c r="X29"/>
  <c r="V28"/>
  <c r="X28"/>
  <c r="V27"/>
  <c r="X27"/>
  <c r="V26"/>
  <c r="X26"/>
  <c r="V25"/>
  <c r="X25"/>
  <c r="V24"/>
  <c r="X24"/>
  <c r="V23"/>
  <c r="X23"/>
  <c r="V22"/>
  <c r="X22"/>
  <c r="W21"/>
  <c r="V20"/>
  <c r="X20"/>
  <c r="W19"/>
  <c r="W15"/>
  <c r="W11"/>
  <c r="W7"/>
  <c r="F5" i="31"/>
  <c r="H5" s="1"/>
  <c r="AA19" i="32"/>
  <c r="V52" i="34"/>
  <c r="V50"/>
  <c r="V48"/>
  <c r="V21"/>
  <c r="V19"/>
  <c r="X16"/>
  <c r="V15"/>
  <c r="X12"/>
  <c r="V11"/>
  <c r="X8"/>
  <c r="V7"/>
  <c r="G231" i="30"/>
  <c r="G223"/>
  <c r="G215"/>
  <c r="H244"/>
  <c r="H250"/>
  <c r="H246"/>
  <c r="H242"/>
  <c r="H238"/>
  <c r="J232"/>
  <c r="G233"/>
  <c r="H232"/>
  <c r="G229"/>
  <c r="H228"/>
  <c r="G225"/>
  <c r="H224"/>
  <c r="H220"/>
  <c r="H216"/>
  <c r="H212"/>
  <c r="G207"/>
  <c r="G199"/>
  <c r="G191"/>
  <c r="H254"/>
  <c r="J236"/>
  <c r="H147"/>
  <c r="H139"/>
  <c r="H131"/>
  <c r="H123"/>
  <c r="H115"/>
  <c r="H107"/>
  <c r="J95"/>
  <c r="H18"/>
  <c r="H16"/>
  <c r="C6"/>
  <c r="E6" s="1"/>
  <c r="C10"/>
  <c r="E10" s="1"/>
  <c r="C11"/>
  <c r="E11" s="1"/>
  <c r="G12" s="1"/>
  <c r="C14"/>
  <c r="E14" s="1"/>
  <c r="C16"/>
  <c r="E16" s="1"/>
  <c r="I30" s="1"/>
  <c r="C18"/>
  <c r="E18" s="1"/>
  <c r="C20"/>
  <c r="E20" s="1"/>
  <c r="C24"/>
  <c r="E24" s="1"/>
  <c r="C28"/>
  <c r="E28" s="1"/>
  <c r="I42" s="1"/>
  <c r="C32"/>
  <c r="E32" s="1"/>
  <c r="C36"/>
  <c r="E36" s="1"/>
  <c r="I50" s="1"/>
  <c r="C40"/>
  <c r="E40" s="1"/>
  <c r="C44"/>
  <c r="E44" s="1"/>
  <c r="I58" s="1"/>
  <c r="C48"/>
  <c r="E48" s="1"/>
  <c r="C52"/>
  <c r="E52" s="1"/>
  <c r="I66" s="1"/>
  <c r="C56"/>
  <c r="E56" s="1"/>
  <c r="C60"/>
  <c r="E60" s="1"/>
  <c r="I74" s="1"/>
  <c r="C64"/>
  <c r="E64" s="1"/>
  <c r="C68"/>
  <c r="E68" s="1"/>
  <c r="I82" s="1"/>
  <c r="C72"/>
  <c r="E72" s="1"/>
  <c r="C76"/>
  <c r="E76" s="1"/>
  <c r="I90" s="1"/>
  <c r="C80"/>
  <c r="E80" s="1"/>
  <c r="C84"/>
  <c r="E84" s="1"/>
  <c r="C88"/>
  <c r="E88" s="1"/>
  <c r="C92"/>
  <c r="E92" s="1"/>
  <c r="C96"/>
  <c r="E96" s="1"/>
  <c r="C97"/>
  <c r="E97" s="1"/>
  <c r="G100" s="1"/>
  <c r="C100"/>
  <c r="E100" s="1"/>
  <c r="C101"/>
  <c r="E101" s="1"/>
  <c r="I114" s="1"/>
  <c r="C104"/>
  <c r="E104" s="1"/>
  <c r="C105"/>
  <c r="E105" s="1"/>
  <c r="I119" s="1"/>
  <c r="C108"/>
  <c r="E108" s="1"/>
  <c r="C109"/>
  <c r="E109" s="1"/>
  <c r="I122" s="1"/>
  <c r="C112"/>
  <c r="E112" s="1"/>
  <c r="C113"/>
  <c r="E113" s="1"/>
  <c r="G113" s="1"/>
  <c r="C116"/>
  <c r="E116" s="1"/>
  <c r="C117"/>
  <c r="E117" s="1"/>
  <c r="I130" s="1"/>
  <c r="C120"/>
  <c r="E120" s="1"/>
  <c r="C121"/>
  <c r="E121" s="1"/>
  <c r="I135" s="1"/>
  <c r="C124"/>
  <c r="E124" s="1"/>
  <c r="C125"/>
  <c r="E125" s="1"/>
  <c r="I138" s="1"/>
  <c r="C128"/>
  <c r="E128" s="1"/>
  <c r="C129"/>
  <c r="E129" s="1"/>
  <c r="G129" s="1"/>
  <c r="C132"/>
  <c r="E132" s="1"/>
  <c r="C133"/>
  <c r="E133" s="1"/>
  <c r="I146" s="1"/>
  <c r="C136"/>
  <c r="E136" s="1"/>
  <c r="C137"/>
  <c r="E137" s="1"/>
  <c r="I151" s="1"/>
  <c r="C140"/>
  <c r="E140" s="1"/>
  <c r="C141"/>
  <c r="E141" s="1"/>
  <c r="I154" s="1"/>
  <c r="C144"/>
  <c r="E144" s="1"/>
  <c r="C145"/>
  <c r="E145" s="1"/>
  <c r="G145" s="1"/>
  <c r="H208"/>
  <c r="H204"/>
  <c r="H200"/>
  <c r="H196"/>
  <c r="H192"/>
  <c r="J186"/>
  <c r="J182"/>
  <c r="J178"/>
  <c r="J174"/>
  <c r="J170"/>
  <c r="C171"/>
  <c r="E171" s="1"/>
  <c r="I185" s="1"/>
  <c r="C170"/>
  <c r="E170" s="1"/>
  <c r="I182" s="1"/>
  <c r="J166"/>
  <c r="C167"/>
  <c r="E167" s="1"/>
  <c r="G170" s="1"/>
  <c r="C166"/>
  <c r="E166" s="1"/>
  <c r="J162"/>
  <c r="C163"/>
  <c r="E163" s="1"/>
  <c r="C162"/>
  <c r="E162" s="1"/>
  <c r="I174" s="1"/>
  <c r="J158"/>
  <c r="C159"/>
  <c r="E159" s="1"/>
  <c r="G158" s="1"/>
  <c r="C158"/>
  <c r="E158" s="1"/>
  <c r="C154"/>
  <c r="E154" s="1"/>
  <c r="G153" s="1"/>
  <c r="C153"/>
  <c r="E153" s="1"/>
  <c r="H150"/>
  <c r="H148"/>
  <c r="C149"/>
  <c r="E149" s="1"/>
  <c r="I162" s="1"/>
  <c r="C148"/>
  <c r="E148" s="1"/>
  <c r="C147"/>
  <c r="E147" s="1"/>
  <c r="C146"/>
  <c r="E146" s="1"/>
  <c r="H143"/>
  <c r="C139"/>
  <c r="E139" s="1"/>
  <c r="C138"/>
  <c r="E138" s="1"/>
  <c r="H135"/>
  <c r="C131"/>
  <c r="E131" s="1"/>
  <c r="I144" s="1"/>
  <c r="C130"/>
  <c r="E130" s="1"/>
  <c r="H127"/>
  <c r="C123"/>
  <c r="E123" s="1"/>
  <c r="C122"/>
  <c r="E122" s="1"/>
  <c r="H119"/>
  <c r="C115"/>
  <c r="E115" s="1"/>
  <c r="I128" s="1"/>
  <c r="C114"/>
  <c r="E114" s="1"/>
  <c r="H111"/>
  <c r="C107"/>
  <c r="E107" s="1"/>
  <c r="C106"/>
  <c r="E106" s="1"/>
  <c r="H103"/>
  <c r="C99"/>
  <c r="E99" s="1"/>
  <c r="I112" s="1"/>
  <c r="C98"/>
  <c r="E98" s="1"/>
  <c r="C94"/>
  <c r="E94" s="1"/>
  <c r="C86"/>
  <c r="E86" s="1"/>
  <c r="C78"/>
  <c r="E78" s="1"/>
  <c r="I92" s="1"/>
  <c r="C70"/>
  <c r="E70" s="1"/>
  <c r="C62"/>
  <c r="E62" s="1"/>
  <c r="I76" s="1"/>
  <c r="C54"/>
  <c r="E54" s="1"/>
  <c r="C46"/>
  <c r="E46" s="1"/>
  <c r="I60" s="1"/>
  <c r="C38"/>
  <c r="E38" s="1"/>
  <c r="C30"/>
  <c r="E30" s="1"/>
  <c r="I44" s="1"/>
  <c r="C22"/>
  <c r="E22" s="1"/>
  <c r="H14"/>
  <c r="C9"/>
  <c r="E9" s="1"/>
  <c r="E63" i="31"/>
  <c r="K63"/>
  <c r="H149" i="30"/>
  <c r="H145"/>
  <c r="H141"/>
  <c r="H137"/>
  <c r="H133"/>
  <c r="H129"/>
  <c r="H125"/>
  <c r="H121"/>
  <c r="H117"/>
  <c r="H113"/>
  <c r="H109"/>
  <c r="H105"/>
  <c r="H97"/>
  <c r="H94"/>
  <c r="Y19" i="32"/>
  <c r="Z19"/>
  <c r="V17" i="34"/>
  <c r="V13"/>
  <c r="V9"/>
  <c r="V6"/>
  <c r="G35" i="37"/>
  <c r="G41" s="1"/>
  <c r="E41"/>
  <c r="L9" i="33"/>
  <c r="M9" s="1"/>
  <c r="S13"/>
  <c r="S14" s="1"/>
  <c r="T225" i="38"/>
  <c r="V225" s="1"/>
  <c r="V212"/>
  <c r="S226"/>
  <c r="X52" i="34"/>
  <c r="X50"/>
  <c r="X48"/>
  <c r="X21"/>
  <c r="X19"/>
  <c r="W18"/>
  <c r="X17"/>
  <c r="W16"/>
  <c r="X15"/>
  <c r="W14"/>
  <c r="X13"/>
  <c r="W12"/>
  <c r="X11"/>
  <c r="W10"/>
  <c r="X9"/>
  <c r="X7"/>
  <c r="M14" i="33"/>
  <c r="M15" s="1"/>
  <c r="M16" s="1"/>
  <c r="M17" s="1"/>
  <c r="M18" s="1"/>
  <c r="M19" s="1"/>
  <c r="M20" s="1"/>
  <c r="M21" s="1"/>
  <c r="M22" s="1"/>
  <c r="M23" s="1"/>
  <c r="M24" s="1"/>
  <c r="M25" s="1"/>
  <c r="M26" s="1"/>
  <c r="M27" s="1"/>
  <c r="M28" s="1"/>
  <c r="M29" s="1"/>
  <c r="M30" s="1"/>
  <c r="M31" s="1"/>
  <c r="M32" s="1"/>
  <c r="M33" s="1"/>
  <c r="O9" i="32"/>
  <c r="W1"/>
  <c r="V2" s="1"/>
  <c r="H6" i="31"/>
  <c r="G6"/>
  <c r="G7" s="1"/>
  <c r="G8" s="1"/>
  <c r="G9" s="1"/>
  <c r="G10" s="1"/>
  <c r="G11" s="1"/>
  <c r="G12" s="1"/>
  <c r="G13" s="1"/>
  <c r="G14" s="1"/>
  <c r="G15" s="1"/>
  <c r="G16" s="1"/>
  <c r="G17" s="1"/>
  <c r="G18" s="1"/>
  <c r="G19" s="1"/>
  <c r="G20" s="1"/>
  <c r="G21" s="1"/>
  <c r="G22" s="1"/>
  <c r="G23" s="1"/>
  <c r="G24" s="1"/>
  <c r="G25" s="1"/>
  <c r="G26" s="1"/>
  <c r="G27" s="1"/>
  <c r="G28" s="1"/>
  <c r="G29" s="1"/>
  <c r="G30" s="1"/>
  <c r="G31" s="1"/>
  <c r="G32" s="1"/>
  <c r="G33" s="1"/>
  <c r="G34" s="1"/>
  <c r="G35" s="1"/>
  <c r="G36" s="1"/>
  <c r="G253" i="30"/>
  <c r="G249"/>
  <c r="G245"/>
  <c r="G244"/>
  <c r="G255"/>
  <c r="G254"/>
  <c r="G251"/>
  <c r="G250"/>
  <c r="G247"/>
  <c r="G246"/>
  <c r="G243"/>
  <c r="G242"/>
  <c r="G237"/>
  <c r="G239"/>
  <c r="I239"/>
  <c r="G241"/>
  <c r="G256"/>
  <c r="G252"/>
  <c r="G248"/>
  <c r="I235"/>
  <c r="G235"/>
  <c r="H225"/>
  <c r="J235"/>
  <c r="H221"/>
  <c r="J231"/>
  <c r="H217"/>
  <c r="J227"/>
  <c r="H213"/>
  <c r="J223"/>
  <c r="H209"/>
  <c r="J219"/>
  <c r="H205"/>
  <c r="J215"/>
  <c r="H201"/>
  <c r="J211"/>
  <c r="H197"/>
  <c r="J207"/>
  <c r="H193"/>
  <c r="J203"/>
  <c r="H189"/>
  <c r="J199"/>
  <c r="H185"/>
  <c r="J195"/>
  <c r="H181"/>
  <c r="J191"/>
  <c r="H177"/>
  <c r="J187"/>
  <c r="H173"/>
  <c r="J183"/>
  <c r="H169"/>
  <c r="J179"/>
  <c r="H165"/>
  <c r="J175"/>
  <c r="H161"/>
  <c r="J171"/>
  <c r="G152"/>
  <c r="G149"/>
  <c r="I152"/>
  <c r="G137"/>
  <c r="I143"/>
  <c r="I136"/>
  <c r="G121"/>
  <c r="I127"/>
  <c r="I120"/>
  <c r="G105"/>
  <c r="I111"/>
  <c r="N3"/>
  <c r="N4"/>
  <c r="H252"/>
  <c r="H255"/>
  <c r="H253"/>
  <c r="H251"/>
  <c r="H249"/>
  <c r="H247"/>
  <c r="H245"/>
  <c r="H243"/>
  <c r="H241"/>
  <c r="I240"/>
  <c r="G240"/>
  <c r="J239"/>
  <c r="H239"/>
  <c r="I238"/>
  <c r="G238"/>
  <c r="I237"/>
  <c r="H236"/>
  <c r="J234"/>
  <c r="H237"/>
  <c r="I233"/>
  <c r="G234"/>
  <c r="J230"/>
  <c r="H233"/>
  <c r="I229"/>
  <c r="G230"/>
  <c r="J226"/>
  <c r="H229"/>
  <c r="I225"/>
  <c r="G226"/>
  <c r="J222"/>
  <c r="I221"/>
  <c r="I234"/>
  <c r="G222"/>
  <c r="J218"/>
  <c r="I217"/>
  <c r="I230"/>
  <c r="G218"/>
  <c r="J214"/>
  <c r="I213"/>
  <c r="I226"/>
  <c r="G214"/>
  <c r="J210"/>
  <c r="I209"/>
  <c r="I222"/>
  <c r="G210"/>
  <c r="J206"/>
  <c r="I205"/>
  <c r="I218"/>
  <c r="G206"/>
  <c r="J202"/>
  <c r="I201"/>
  <c r="I214"/>
  <c r="G202"/>
  <c r="J198"/>
  <c r="I197"/>
  <c r="I210"/>
  <c r="G198"/>
  <c r="J194"/>
  <c r="I193"/>
  <c r="I206"/>
  <c r="G194"/>
  <c r="J190"/>
  <c r="I189"/>
  <c r="H188"/>
  <c r="I202"/>
  <c r="G187"/>
  <c r="G190"/>
  <c r="H184"/>
  <c r="I198"/>
  <c r="G183"/>
  <c r="G186"/>
  <c r="H180"/>
  <c r="I194"/>
  <c r="G179"/>
  <c r="G182"/>
  <c r="H176"/>
  <c r="I190"/>
  <c r="G175"/>
  <c r="G178"/>
  <c r="H172"/>
  <c r="I186"/>
  <c r="G171"/>
  <c r="G174"/>
  <c r="H168"/>
  <c r="G167"/>
  <c r="H164"/>
  <c r="G163"/>
  <c r="H160"/>
  <c r="G159"/>
  <c r="H156"/>
  <c r="G154"/>
  <c r="G144"/>
  <c r="G136"/>
  <c r="G128"/>
  <c r="G120"/>
  <c r="G112"/>
  <c r="G104"/>
  <c r="F1"/>
  <c r="H227"/>
  <c r="J237"/>
  <c r="H223"/>
  <c r="J233"/>
  <c r="H219"/>
  <c r="J229"/>
  <c r="H215"/>
  <c r="J225"/>
  <c r="H211"/>
  <c r="J221"/>
  <c r="H207"/>
  <c r="J217"/>
  <c r="H203"/>
  <c r="J213"/>
  <c r="H199"/>
  <c r="J209"/>
  <c r="H195"/>
  <c r="J205"/>
  <c r="H191"/>
  <c r="J201"/>
  <c r="H187"/>
  <c r="J197"/>
  <c r="H183"/>
  <c r="J193"/>
  <c r="H179"/>
  <c r="J189"/>
  <c r="H175"/>
  <c r="J185"/>
  <c r="H171"/>
  <c r="J181"/>
  <c r="H167"/>
  <c r="J177"/>
  <c r="H163"/>
  <c r="J173"/>
  <c r="H155"/>
  <c r="J155"/>
  <c r="H157"/>
  <c r="J157"/>
  <c r="H159"/>
  <c r="J159"/>
  <c r="J161"/>
  <c r="J163"/>
  <c r="J165"/>
  <c r="J167"/>
  <c r="J169"/>
  <c r="G156"/>
  <c r="G150"/>
  <c r="G151"/>
  <c r="G147"/>
  <c r="G143"/>
  <c r="I150"/>
  <c r="I149"/>
  <c r="G135"/>
  <c r="I142"/>
  <c r="I141"/>
  <c r="G127"/>
  <c r="I134"/>
  <c r="I133"/>
  <c r="G119"/>
  <c r="I126"/>
  <c r="I125"/>
  <c r="G111"/>
  <c r="I118"/>
  <c r="I117"/>
  <c r="G103"/>
  <c r="I110"/>
  <c r="J240"/>
  <c r="J238"/>
  <c r="H234"/>
  <c r="G236"/>
  <c r="H235"/>
  <c r="I231"/>
  <c r="H230"/>
  <c r="G232"/>
  <c r="J228"/>
  <c r="H231"/>
  <c r="I227"/>
  <c r="H226"/>
  <c r="G228"/>
  <c r="J224"/>
  <c r="I223"/>
  <c r="H222"/>
  <c r="I236"/>
  <c r="G221"/>
  <c r="G224"/>
  <c r="J220"/>
  <c r="I219"/>
  <c r="H218"/>
  <c r="I232"/>
  <c r="G217"/>
  <c r="G220"/>
  <c r="J216"/>
  <c r="I215"/>
  <c r="H214"/>
  <c r="I228"/>
  <c r="G213"/>
  <c r="G216"/>
  <c r="J212"/>
  <c r="I211"/>
  <c r="H210"/>
  <c r="I224"/>
  <c r="G209"/>
  <c r="G212"/>
  <c r="J208"/>
  <c r="I207"/>
  <c r="H206"/>
  <c r="I220"/>
  <c r="G205"/>
  <c r="G208"/>
  <c r="J204"/>
  <c r="I203"/>
  <c r="H202"/>
  <c r="I216"/>
  <c r="G201"/>
  <c r="G204"/>
  <c r="J200"/>
  <c r="I199"/>
  <c r="H198"/>
  <c r="I212"/>
  <c r="G197"/>
  <c r="G200"/>
  <c r="J196"/>
  <c r="I195"/>
  <c r="H194"/>
  <c r="I208"/>
  <c r="G193"/>
  <c r="G196"/>
  <c r="J192"/>
  <c r="I191"/>
  <c r="H190"/>
  <c r="I204"/>
  <c r="G189"/>
  <c r="G192"/>
  <c r="J188"/>
  <c r="I187"/>
  <c r="H186"/>
  <c r="I200"/>
  <c r="G185"/>
  <c r="G188"/>
  <c r="J184"/>
  <c r="I183"/>
  <c r="H182"/>
  <c r="I196"/>
  <c r="G181"/>
  <c r="G184"/>
  <c r="J180"/>
  <c r="I179"/>
  <c r="H178"/>
  <c r="I192"/>
  <c r="G177"/>
  <c r="G180"/>
  <c r="J176"/>
  <c r="I175"/>
  <c r="H174"/>
  <c r="I188"/>
  <c r="G176"/>
  <c r="J172"/>
  <c r="I171"/>
  <c r="H170"/>
  <c r="I184"/>
  <c r="G172"/>
  <c r="J168"/>
  <c r="I167"/>
  <c r="H166"/>
  <c r="I180"/>
  <c r="G168"/>
  <c r="J164"/>
  <c r="I163"/>
  <c r="H162"/>
  <c r="I176"/>
  <c r="G164"/>
  <c r="J160"/>
  <c r="I159"/>
  <c r="H158"/>
  <c r="I172"/>
  <c r="G160"/>
  <c r="J156"/>
  <c r="H153"/>
  <c r="G146"/>
  <c r="G138"/>
  <c r="G130"/>
  <c r="G122"/>
  <c r="G114"/>
  <c r="G106"/>
  <c r="H83"/>
  <c r="J93"/>
  <c r="H81"/>
  <c r="J91"/>
  <c r="H79"/>
  <c r="J89"/>
  <c r="H77"/>
  <c r="J87"/>
  <c r="H75"/>
  <c r="J85"/>
  <c r="H73"/>
  <c r="J83"/>
  <c r="H71"/>
  <c r="J81"/>
  <c r="H69"/>
  <c r="J79"/>
  <c r="H67"/>
  <c r="J77"/>
  <c r="H65"/>
  <c r="J75"/>
  <c r="H63"/>
  <c r="J73"/>
  <c r="H61"/>
  <c r="J71"/>
  <c r="H59"/>
  <c r="J69"/>
  <c r="H57"/>
  <c r="J67"/>
  <c r="H55"/>
  <c r="J65"/>
  <c r="H53"/>
  <c r="J63"/>
  <c r="H51"/>
  <c r="J61"/>
  <c r="H49"/>
  <c r="J59"/>
  <c r="H47"/>
  <c r="J57"/>
  <c r="H45"/>
  <c r="J55"/>
  <c r="H43"/>
  <c r="J53"/>
  <c r="H41"/>
  <c r="J51"/>
  <c r="H39"/>
  <c r="J49"/>
  <c r="H37"/>
  <c r="J47"/>
  <c r="H35"/>
  <c r="J45"/>
  <c r="H33"/>
  <c r="J43"/>
  <c r="H31"/>
  <c r="J41"/>
  <c r="H29"/>
  <c r="J39"/>
  <c r="H27"/>
  <c r="J37"/>
  <c r="H25"/>
  <c r="J35"/>
  <c r="C7"/>
  <c r="E7" s="1"/>
  <c r="C8"/>
  <c r="E8" s="1"/>
  <c r="C12"/>
  <c r="E12" s="1"/>
  <c r="C13"/>
  <c r="E13" s="1"/>
  <c r="C15"/>
  <c r="E15" s="1"/>
  <c r="C17"/>
  <c r="E17" s="1"/>
  <c r="C19"/>
  <c r="E19" s="1"/>
  <c r="C21"/>
  <c r="E21" s="1"/>
  <c r="C23"/>
  <c r="E23" s="1"/>
  <c r="G23" s="1"/>
  <c r="C25"/>
  <c r="E25" s="1"/>
  <c r="C27"/>
  <c r="E27" s="1"/>
  <c r="I40" s="1"/>
  <c r="C29"/>
  <c r="E29" s="1"/>
  <c r="C31"/>
  <c r="E31" s="1"/>
  <c r="C33"/>
  <c r="E33" s="1"/>
  <c r="C35"/>
  <c r="E35" s="1"/>
  <c r="I48" s="1"/>
  <c r="C37"/>
  <c r="E37" s="1"/>
  <c r="C39"/>
  <c r="E39" s="1"/>
  <c r="I52" s="1"/>
  <c r="C41"/>
  <c r="E41" s="1"/>
  <c r="C43"/>
  <c r="E43" s="1"/>
  <c r="I56" s="1"/>
  <c r="C45"/>
  <c r="E45" s="1"/>
  <c r="C47"/>
  <c r="E47" s="1"/>
  <c r="C49"/>
  <c r="E49" s="1"/>
  <c r="C51"/>
  <c r="E51" s="1"/>
  <c r="I64" s="1"/>
  <c r="C53"/>
  <c r="E53" s="1"/>
  <c r="C55"/>
  <c r="E55" s="1"/>
  <c r="I68" s="1"/>
  <c r="C57"/>
  <c r="E57" s="1"/>
  <c r="C59"/>
  <c r="E59" s="1"/>
  <c r="I72" s="1"/>
  <c r="C61"/>
  <c r="E61" s="1"/>
  <c r="C63"/>
  <c r="E63" s="1"/>
  <c r="C65"/>
  <c r="E65" s="1"/>
  <c r="C67"/>
  <c r="E67" s="1"/>
  <c r="I80" s="1"/>
  <c r="C69"/>
  <c r="E69" s="1"/>
  <c r="C71"/>
  <c r="E71" s="1"/>
  <c r="I84" s="1"/>
  <c r="C73"/>
  <c r="E73" s="1"/>
  <c r="C75"/>
  <c r="E75" s="1"/>
  <c r="I88" s="1"/>
  <c r="C77"/>
  <c r="E77" s="1"/>
  <c r="C79"/>
  <c r="E79" s="1"/>
  <c r="C81"/>
  <c r="E81" s="1"/>
  <c r="C83"/>
  <c r="E83" s="1"/>
  <c r="I94" s="1"/>
  <c r="C85"/>
  <c r="E85" s="1"/>
  <c r="C87"/>
  <c r="E87" s="1"/>
  <c r="C89"/>
  <c r="E89" s="1"/>
  <c r="C91"/>
  <c r="E91" s="1"/>
  <c r="C93"/>
  <c r="E93" s="1"/>
  <c r="C95"/>
  <c r="E95" s="1"/>
  <c r="J154"/>
  <c r="H154"/>
  <c r="J152"/>
  <c r="H152"/>
  <c r="J150"/>
  <c r="J148"/>
  <c r="J146"/>
  <c r="J144"/>
  <c r="H144"/>
  <c r="J142"/>
  <c r="H142"/>
  <c r="J140"/>
  <c r="H140"/>
  <c r="J138"/>
  <c r="H138"/>
  <c r="J136"/>
  <c r="H136"/>
  <c r="J134"/>
  <c r="H134"/>
  <c r="J132"/>
  <c r="H132"/>
  <c r="J130"/>
  <c r="H130"/>
  <c r="J128"/>
  <c r="H128"/>
  <c r="J126"/>
  <c r="H126"/>
  <c r="J124"/>
  <c r="H124"/>
  <c r="J122"/>
  <c r="H122"/>
  <c r="J120"/>
  <c r="H120"/>
  <c r="J118"/>
  <c r="H118"/>
  <c r="J116"/>
  <c r="H116"/>
  <c r="J114"/>
  <c r="H114"/>
  <c r="J112"/>
  <c r="H112"/>
  <c r="J110"/>
  <c r="H110"/>
  <c r="J108"/>
  <c r="H108"/>
  <c r="J106"/>
  <c r="H106"/>
  <c r="J104"/>
  <c r="H104"/>
  <c r="J102"/>
  <c r="H102"/>
  <c r="J100"/>
  <c r="H100"/>
  <c r="J98"/>
  <c r="H98"/>
  <c r="J96"/>
  <c r="H96"/>
  <c r="J94"/>
  <c r="J92"/>
  <c r="H95"/>
  <c r="J90"/>
  <c r="H93"/>
  <c r="J88"/>
  <c r="H91"/>
  <c r="J86"/>
  <c r="H89"/>
  <c r="J84"/>
  <c r="H87"/>
  <c r="J82"/>
  <c r="H85"/>
  <c r="J80"/>
  <c r="J78"/>
  <c r="J76"/>
  <c r="J74"/>
  <c r="J72"/>
  <c r="J70"/>
  <c r="J68"/>
  <c r="J66"/>
  <c r="J64"/>
  <c r="J62"/>
  <c r="J60"/>
  <c r="J58"/>
  <c r="J56"/>
  <c r="J54"/>
  <c r="J52"/>
  <c r="J50"/>
  <c r="J48"/>
  <c r="J46"/>
  <c r="J44"/>
  <c r="J42"/>
  <c r="J40"/>
  <c r="J38"/>
  <c r="J36"/>
  <c r="J34"/>
  <c r="J32"/>
  <c r="J30"/>
  <c r="J28"/>
  <c r="J26"/>
  <c r="J24"/>
  <c r="J22"/>
  <c r="H20"/>
  <c r="I34"/>
  <c r="J25"/>
  <c r="H10"/>
  <c r="I24"/>
  <c r="H9"/>
  <c r="H23"/>
  <c r="J33"/>
  <c r="H21"/>
  <c r="J31"/>
  <c r="H19"/>
  <c r="J29"/>
  <c r="H15"/>
  <c r="H17"/>
  <c r="J27"/>
  <c r="H12"/>
  <c r="J21"/>
  <c r="J23"/>
  <c r="E1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H101"/>
  <c r="J99"/>
  <c r="H99"/>
  <c r="J97"/>
  <c r="H92"/>
  <c r="H90"/>
  <c r="H88"/>
  <c r="H86"/>
  <c r="H84"/>
  <c r="H82"/>
  <c r="H80"/>
  <c r="H78"/>
  <c r="H76"/>
  <c r="H74"/>
  <c r="H72"/>
  <c r="H70"/>
  <c r="H68"/>
  <c r="H66"/>
  <c r="H64"/>
  <c r="H62"/>
  <c r="H60"/>
  <c r="H58"/>
  <c r="H56"/>
  <c r="H54"/>
  <c r="H52"/>
  <c r="H50"/>
  <c r="H48"/>
  <c r="H46"/>
  <c r="H44"/>
  <c r="H42"/>
  <c r="H40"/>
  <c r="H38"/>
  <c r="H36"/>
  <c r="H34"/>
  <c r="H32"/>
  <c r="H30"/>
  <c r="H28"/>
  <c r="H26"/>
  <c r="H24"/>
  <c r="H22"/>
  <c r="G17"/>
  <c r="H11"/>
  <c r="H13"/>
  <c r="R57" i="14"/>
  <c r="R58"/>
  <c r="M3" i="9"/>
  <c r="M4" s="1"/>
  <c r="F80" i="5"/>
  <c r="E80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K35" i="25"/>
  <c r="K33"/>
  <c r="K32"/>
  <c r="K31"/>
  <c r="K30"/>
  <c r="K34"/>
  <c r="C1" i="5"/>
  <c r="H40" i="25"/>
  <c r="G40"/>
  <c r="F40"/>
  <c r="E40"/>
  <c r="D40"/>
  <c r="C40"/>
  <c r="B40"/>
  <c r="H39"/>
  <c r="G39"/>
  <c r="F39"/>
  <c r="E39"/>
  <c r="D39"/>
  <c r="C39"/>
  <c r="B39"/>
  <c r="H38"/>
  <c r="G38"/>
  <c r="F38"/>
  <c r="E38"/>
  <c r="D38"/>
  <c r="C38"/>
  <c r="B38"/>
  <c r="H37"/>
  <c r="G37"/>
  <c r="F37"/>
  <c r="E37"/>
  <c r="D37"/>
  <c r="C37"/>
  <c r="B37"/>
  <c r="T6" i="29"/>
  <c r="W6"/>
  <c r="T7"/>
  <c r="W7"/>
  <c r="P7" s="1"/>
  <c r="O7" s="1"/>
  <c r="T5"/>
  <c r="N5"/>
  <c r="O5" s="1"/>
  <c r="K1"/>
  <c r="E5"/>
  <c r="E6"/>
  <c r="E7"/>
  <c r="E8"/>
  <c r="I8"/>
  <c r="J8"/>
  <c r="K8"/>
  <c r="L8" s="1"/>
  <c r="E9"/>
  <c r="I9"/>
  <c r="J9"/>
  <c r="K9"/>
  <c r="L9" s="1"/>
  <c r="E10"/>
  <c r="I10"/>
  <c r="J10"/>
  <c r="K10"/>
  <c r="L10" s="1"/>
  <c r="E11"/>
  <c r="I11"/>
  <c r="J11"/>
  <c r="K11"/>
  <c r="L11" s="1"/>
  <c r="E12"/>
  <c r="I12"/>
  <c r="J12"/>
  <c r="K12"/>
  <c r="L12" s="1"/>
  <c r="E13"/>
  <c r="I13"/>
  <c r="J13"/>
  <c r="K13"/>
  <c r="L13" s="1"/>
  <c r="E14"/>
  <c r="I14"/>
  <c r="J14"/>
  <c r="K14"/>
  <c r="L14" s="1"/>
  <c r="E15"/>
  <c r="I15"/>
  <c r="J15"/>
  <c r="K15"/>
  <c r="L15" s="1"/>
  <c r="E16"/>
  <c r="I16"/>
  <c r="J16"/>
  <c r="K16"/>
  <c r="L16" s="1"/>
  <c r="E17"/>
  <c r="I17"/>
  <c r="J17"/>
  <c r="K17"/>
  <c r="L17" s="1"/>
  <c r="E18"/>
  <c r="I18"/>
  <c r="J18"/>
  <c r="K18"/>
  <c r="L18" s="1"/>
  <c r="E19"/>
  <c r="I19"/>
  <c r="J19"/>
  <c r="K19"/>
  <c r="L19" s="1"/>
  <c r="E20"/>
  <c r="I20"/>
  <c r="J20"/>
  <c r="K20"/>
  <c r="L20" s="1"/>
  <c r="E21"/>
  <c r="I21"/>
  <c r="J21"/>
  <c r="K21"/>
  <c r="L21" s="1"/>
  <c r="E22"/>
  <c r="I22"/>
  <c r="J22"/>
  <c r="K22"/>
  <c r="L22" s="1"/>
  <c r="E23"/>
  <c r="I23"/>
  <c r="J23"/>
  <c r="K23"/>
  <c r="L23" s="1"/>
  <c r="E24"/>
  <c r="I24"/>
  <c r="J24"/>
  <c r="K24"/>
  <c r="L24" s="1"/>
  <c r="E25"/>
  <c r="I25"/>
  <c r="J25"/>
  <c r="K25"/>
  <c r="L25" s="1"/>
  <c r="E26"/>
  <c r="I26"/>
  <c r="J26"/>
  <c r="K26"/>
  <c r="L26" s="1"/>
  <c r="E27"/>
  <c r="I27"/>
  <c r="J27"/>
  <c r="K27"/>
  <c r="L27" s="1"/>
  <c r="E28"/>
  <c r="I28"/>
  <c r="J28"/>
  <c r="K28"/>
  <c r="L28" s="1"/>
  <c r="Q2" i="28"/>
  <c r="O6"/>
  <c r="S6" s="1"/>
  <c r="P6"/>
  <c r="Q6"/>
  <c r="O7"/>
  <c r="P7"/>
  <c r="Q7"/>
  <c r="R7" s="1"/>
  <c r="O8"/>
  <c r="S8" s="1"/>
  <c r="P8"/>
  <c r="Q8"/>
  <c r="O9"/>
  <c r="P9"/>
  <c r="Q9"/>
  <c r="R9" s="1"/>
  <c r="O10"/>
  <c r="S10" s="1"/>
  <c r="P10"/>
  <c r="Q10"/>
  <c r="O11"/>
  <c r="P11"/>
  <c r="Q11"/>
  <c r="R11" s="1"/>
  <c r="O12"/>
  <c r="S12" s="1"/>
  <c r="P12"/>
  <c r="Q12"/>
  <c r="O13"/>
  <c r="P13"/>
  <c r="Q13"/>
  <c r="R13" s="1"/>
  <c r="O14"/>
  <c r="S14" s="1"/>
  <c r="P14"/>
  <c r="Q14"/>
  <c r="R14" s="1"/>
  <c r="O15"/>
  <c r="P15"/>
  <c r="S15" s="1"/>
  <c r="Q15"/>
  <c r="O16"/>
  <c r="P16"/>
  <c r="S16" s="1"/>
  <c r="Q16"/>
  <c r="O17"/>
  <c r="P17"/>
  <c r="Q17"/>
  <c r="O18"/>
  <c r="S18" s="1"/>
  <c r="P18"/>
  <c r="Q18"/>
  <c r="R18" s="1"/>
  <c r="A3" i="14"/>
  <c r="L50"/>
  <c r="L22"/>
  <c r="P22" s="1"/>
  <c r="L21"/>
  <c r="P21" s="1"/>
  <c r="L20"/>
  <c r="P20" s="1"/>
  <c r="L19"/>
  <c r="P19" s="1"/>
  <c r="L18"/>
  <c r="P18" s="1"/>
  <c r="J11" i="25"/>
  <c r="K11"/>
  <c r="L11"/>
  <c r="M11"/>
  <c r="N11"/>
  <c r="O11"/>
  <c r="J12"/>
  <c r="K12"/>
  <c r="L12"/>
  <c r="M12"/>
  <c r="N12"/>
  <c r="O12"/>
  <c r="J13"/>
  <c r="K13"/>
  <c r="L13"/>
  <c r="M13"/>
  <c r="N13"/>
  <c r="O13"/>
  <c r="J14"/>
  <c r="K14"/>
  <c r="L14"/>
  <c r="M14"/>
  <c r="N14"/>
  <c r="O14"/>
  <c r="E46" i="9"/>
  <c r="C26" i="24"/>
  <c r="E12"/>
  <c r="H12" s="1"/>
  <c r="D12"/>
  <c r="G12" s="1"/>
  <c r="G1"/>
  <c r="D6"/>
  <c r="E6"/>
  <c r="D7"/>
  <c r="E7"/>
  <c r="D8"/>
  <c r="E8"/>
  <c r="D9"/>
  <c r="E9"/>
  <c r="D10"/>
  <c r="E10"/>
  <c r="D13"/>
  <c r="G13" s="1"/>
  <c r="E13"/>
  <c r="C14"/>
  <c r="D14" s="1"/>
  <c r="G14" s="1"/>
  <c r="E14"/>
  <c r="C15"/>
  <c r="D15"/>
  <c r="G15" s="1"/>
  <c r="E15"/>
  <c r="C16"/>
  <c r="D16" s="1"/>
  <c r="G16" s="1"/>
  <c r="E16"/>
  <c r="C17"/>
  <c r="D17" s="1"/>
  <c r="G17" s="1"/>
  <c r="E17"/>
  <c r="D18"/>
  <c r="G18" s="1"/>
  <c r="E18"/>
  <c r="H18" s="1"/>
  <c r="C22"/>
  <c r="C23"/>
  <c r="C24"/>
  <c r="C25"/>
  <c r="F31"/>
  <c r="H31" s="1"/>
  <c r="O31"/>
  <c r="F32"/>
  <c r="H32" s="1"/>
  <c r="K32"/>
  <c r="B33"/>
  <c r="B34"/>
  <c r="K34"/>
  <c r="K35"/>
  <c r="G384" i="23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I1"/>
  <c r="E5"/>
  <c r="F5"/>
  <c r="G5" s="1"/>
  <c r="E6"/>
  <c r="F6"/>
  <c r="G6" s="1"/>
  <c r="E7"/>
  <c r="F7"/>
  <c r="G7" s="1"/>
  <c r="K7"/>
  <c r="E8"/>
  <c r="G8" s="1"/>
  <c r="F8"/>
  <c r="K8"/>
  <c r="E9"/>
  <c r="G9" s="1"/>
  <c r="F9"/>
  <c r="E10"/>
  <c r="F10"/>
  <c r="G10" s="1"/>
  <c r="K10"/>
  <c r="K9" s="1"/>
  <c r="K11" s="1"/>
  <c r="E11"/>
  <c r="F11"/>
  <c r="E12"/>
  <c r="F12"/>
  <c r="E13"/>
  <c r="G13" s="1"/>
  <c r="F13"/>
  <c r="E14"/>
  <c r="F14"/>
  <c r="G14" s="1"/>
  <c r="E15"/>
  <c r="F15"/>
  <c r="G15" s="1"/>
  <c r="E16"/>
  <c r="F16"/>
  <c r="G16" s="1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J26" i="14"/>
  <c r="M26" s="1"/>
  <c r="Q26" s="1"/>
  <c r="J25"/>
  <c r="M25" s="1"/>
  <c r="O25" s="1"/>
  <c r="J24"/>
  <c r="M24" s="1"/>
  <c r="Q24" s="1"/>
  <c r="J23"/>
  <c r="M23" s="1"/>
  <c r="O23" s="1"/>
  <c r="J22"/>
  <c r="M22" s="1"/>
  <c r="Q22" s="1"/>
  <c r="J21"/>
  <c r="M21" s="1"/>
  <c r="O21" s="1"/>
  <c r="J20"/>
  <c r="M20" s="1"/>
  <c r="Q20" s="1"/>
  <c r="J19"/>
  <c r="M19" s="1"/>
  <c r="O19" s="1"/>
  <c r="J18"/>
  <c r="M18" s="1"/>
  <c r="Q18" s="1"/>
  <c r="J17"/>
  <c r="J16"/>
  <c r="M16" s="1"/>
  <c r="Q16" s="1"/>
  <c r="U26"/>
  <c r="U25"/>
  <c r="R24"/>
  <c r="U24"/>
  <c r="R23"/>
  <c r="U23"/>
  <c r="R22"/>
  <c r="U22"/>
  <c r="R21"/>
  <c r="U21"/>
  <c r="R20"/>
  <c r="U20"/>
  <c r="R19"/>
  <c r="U19"/>
  <c r="R18"/>
  <c r="U18"/>
  <c r="R17"/>
  <c r="U17"/>
  <c r="R16"/>
  <c r="U16"/>
  <c r="E45" i="9"/>
  <c r="E44"/>
  <c r="E43"/>
  <c r="E42"/>
  <c r="M29" i="8"/>
  <c r="H27"/>
  <c r="H29" s="1"/>
  <c r="H31" s="1"/>
  <c r="P8"/>
  <c r="M9"/>
  <c r="O6" i="22"/>
  <c r="R6" s="1"/>
  <c r="O5"/>
  <c r="R5" s="1"/>
  <c r="M8" i="8"/>
  <c r="J8"/>
  <c r="AB10" i="15"/>
  <c r="AE10" s="1"/>
  <c r="AB9"/>
  <c r="AE9" s="1"/>
  <c r="AB8"/>
  <c r="AE8" s="1"/>
  <c r="T54" i="14"/>
  <c r="V54" s="1"/>
  <c r="U6" i="10"/>
  <c r="X6" s="1"/>
  <c r="E5" i="22"/>
  <c r="F5"/>
  <c r="G5" s="1"/>
  <c r="E6"/>
  <c r="F6"/>
  <c r="G6" s="1"/>
  <c r="E7"/>
  <c r="F7"/>
  <c r="G7" s="1"/>
  <c r="E8"/>
  <c r="F8"/>
  <c r="G8" s="1"/>
  <c r="E9"/>
  <c r="F9"/>
  <c r="G9" s="1"/>
  <c r="E10"/>
  <c r="F10"/>
  <c r="G10" s="1"/>
  <c r="E11"/>
  <c r="F11"/>
  <c r="G11" s="1"/>
  <c r="E12"/>
  <c r="F12"/>
  <c r="G12" s="1"/>
  <c r="E13"/>
  <c r="F13"/>
  <c r="G13" s="1"/>
  <c r="E14"/>
  <c r="F14"/>
  <c r="G14" s="1"/>
  <c r="E15"/>
  <c r="F15"/>
  <c r="G15" s="1"/>
  <c r="E16"/>
  <c r="F16"/>
  <c r="G16" s="1"/>
  <c r="E17"/>
  <c r="F17"/>
  <c r="G17" s="1"/>
  <c r="E18"/>
  <c r="F18"/>
  <c r="G18" s="1"/>
  <c r="E19"/>
  <c r="F19"/>
  <c r="G19" s="1"/>
  <c r="E20"/>
  <c r="F20"/>
  <c r="G20" s="1"/>
  <c r="E21"/>
  <c r="F21"/>
  <c r="G21" s="1"/>
  <c r="D8" i="21"/>
  <c r="E8"/>
  <c r="C9"/>
  <c r="D9"/>
  <c r="E9"/>
  <c r="F9"/>
  <c r="K9"/>
  <c r="L9"/>
  <c r="C10"/>
  <c r="D10"/>
  <c r="E10"/>
  <c r="F10"/>
  <c r="K10"/>
  <c r="L10"/>
  <c r="C11"/>
  <c r="D11"/>
  <c r="E11"/>
  <c r="F11"/>
  <c r="K11"/>
  <c r="L11"/>
  <c r="C12"/>
  <c r="D12"/>
  <c r="E12"/>
  <c r="F12"/>
  <c r="K12"/>
  <c r="L12"/>
  <c r="C13"/>
  <c r="D13"/>
  <c r="E13"/>
  <c r="F13"/>
  <c r="K13"/>
  <c r="L13"/>
  <c r="C14"/>
  <c r="D14"/>
  <c r="E14"/>
  <c r="F14" s="1"/>
  <c r="K14"/>
  <c r="L14" s="1"/>
  <c r="C15"/>
  <c r="D15"/>
  <c r="E15"/>
  <c r="F15" s="1"/>
  <c r="K15"/>
  <c r="L15" s="1"/>
  <c r="C16"/>
  <c r="D16"/>
  <c r="E16"/>
  <c r="K16"/>
  <c r="L16" s="1"/>
  <c r="C17"/>
  <c r="D17"/>
  <c r="E17"/>
  <c r="K17"/>
  <c r="L17" s="1"/>
  <c r="C18"/>
  <c r="D18"/>
  <c r="E18"/>
  <c r="K18"/>
  <c r="L18" s="1"/>
  <c r="C19"/>
  <c r="D19"/>
  <c r="E19"/>
  <c r="K19"/>
  <c r="L19" s="1"/>
  <c r="C20"/>
  <c r="D20"/>
  <c r="E20"/>
  <c r="K20"/>
  <c r="L20" s="1"/>
  <c r="C21"/>
  <c r="D21"/>
  <c r="E21"/>
  <c r="K21"/>
  <c r="L21" s="1"/>
  <c r="C22"/>
  <c r="D22"/>
  <c r="E22"/>
  <c r="K22"/>
  <c r="L22" s="1"/>
  <c r="C23"/>
  <c r="D23"/>
  <c r="E23"/>
  <c r="K23"/>
  <c r="L23" s="1"/>
  <c r="C24"/>
  <c r="D24"/>
  <c r="E24"/>
  <c r="K24"/>
  <c r="L24" s="1"/>
  <c r="C25"/>
  <c r="D25"/>
  <c r="E25"/>
  <c r="K25"/>
  <c r="L25" s="1"/>
  <c r="C26"/>
  <c r="D26"/>
  <c r="E26"/>
  <c r="K26"/>
  <c r="L26" s="1"/>
  <c r="C27"/>
  <c r="D27"/>
  <c r="E27"/>
  <c r="K27"/>
  <c r="L27" s="1"/>
  <c r="C28"/>
  <c r="D28"/>
  <c r="E28"/>
  <c r="K28"/>
  <c r="L28" s="1"/>
  <c r="C29"/>
  <c r="D29"/>
  <c r="E29"/>
  <c r="K29"/>
  <c r="L29" s="1"/>
  <c r="C30"/>
  <c r="D30"/>
  <c r="E30"/>
  <c r="K30"/>
  <c r="L30" s="1"/>
  <c r="C31"/>
  <c r="D31"/>
  <c r="E31"/>
  <c r="K31"/>
  <c r="L31" s="1"/>
  <c r="C32"/>
  <c r="D32"/>
  <c r="E32"/>
  <c r="K32"/>
  <c r="L32" s="1"/>
  <c r="C33"/>
  <c r="D33"/>
  <c r="E33"/>
  <c r="K33"/>
  <c r="L33" s="1"/>
  <c r="C34"/>
  <c r="D34"/>
  <c r="E34"/>
  <c r="K34"/>
  <c r="L34" s="1"/>
  <c r="C35"/>
  <c r="D35"/>
  <c r="E35"/>
  <c r="K35"/>
  <c r="L35" s="1"/>
  <c r="C36"/>
  <c r="D36"/>
  <c r="E36"/>
  <c r="K36"/>
  <c r="L36" s="1"/>
  <c r="C37"/>
  <c r="D37"/>
  <c r="E37"/>
  <c r="K37"/>
  <c r="L37" s="1"/>
  <c r="C38"/>
  <c r="D38"/>
  <c r="E38"/>
  <c r="K38"/>
  <c r="L38" s="1"/>
  <c r="C39"/>
  <c r="D39"/>
  <c r="E39"/>
  <c r="K39"/>
  <c r="L39" s="1"/>
  <c r="C40"/>
  <c r="D40"/>
  <c r="E40"/>
  <c r="K40"/>
  <c r="L40" s="1"/>
  <c r="C41"/>
  <c r="D41"/>
  <c r="E41"/>
  <c r="K41"/>
  <c r="L41" s="1"/>
  <c r="C42"/>
  <c r="D42"/>
  <c r="E42"/>
  <c r="K42"/>
  <c r="L42" s="1"/>
  <c r="C43"/>
  <c r="D43"/>
  <c r="E43"/>
  <c r="K43"/>
  <c r="L43" s="1"/>
  <c r="C44"/>
  <c r="D44"/>
  <c r="E44"/>
  <c r="K44"/>
  <c r="L44" s="1"/>
  <c r="C45"/>
  <c r="D45"/>
  <c r="E45"/>
  <c r="K45"/>
  <c r="L45" s="1"/>
  <c r="C46"/>
  <c r="D46"/>
  <c r="E46"/>
  <c r="K46"/>
  <c r="L46" s="1"/>
  <c r="C47"/>
  <c r="D47"/>
  <c r="E47"/>
  <c r="K47"/>
  <c r="L47" s="1"/>
  <c r="C48"/>
  <c r="D48"/>
  <c r="E48"/>
  <c r="K48"/>
  <c r="L48" s="1"/>
  <c r="C49"/>
  <c r="D49"/>
  <c r="E49"/>
  <c r="K49"/>
  <c r="L49" s="1"/>
  <c r="C50"/>
  <c r="D50"/>
  <c r="E50"/>
  <c r="K50"/>
  <c r="L50" s="1"/>
  <c r="C51"/>
  <c r="D51"/>
  <c r="E51"/>
  <c r="K51"/>
  <c r="L51" s="1"/>
  <c r="C52"/>
  <c r="D52"/>
  <c r="E52"/>
  <c r="K52"/>
  <c r="L52" s="1"/>
  <c r="C53"/>
  <c r="D53"/>
  <c r="E53"/>
  <c r="K53"/>
  <c r="L53" s="1"/>
  <c r="C54"/>
  <c r="D54"/>
  <c r="E54"/>
  <c r="K54"/>
  <c r="L54" s="1"/>
  <c r="C55"/>
  <c r="D55"/>
  <c r="E55"/>
  <c r="K55"/>
  <c r="L55" s="1"/>
  <c r="C56"/>
  <c r="D56"/>
  <c r="E56"/>
  <c r="K56"/>
  <c r="L56" s="1"/>
  <c r="C57"/>
  <c r="D57"/>
  <c r="E57"/>
  <c r="K57"/>
  <c r="L57" s="1"/>
  <c r="C58"/>
  <c r="D58"/>
  <c r="E58"/>
  <c r="K58"/>
  <c r="L58" s="1"/>
  <c r="C59"/>
  <c r="D59"/>
  <c r="E59"/>
  <c r="K59"/>
  <c r="L59" s="1"/>
  <c r="C60"/>
  <c r="D60"/>
  <c r="E60"/>
  <c r="K60"/>
  <c r="L60" s="1"/>
  <c r="C61"/>
  <c r="D61"/>
  <c r="E61"/>
  <c r="K61"/>
  <c r="L61" s="1"/>
  <c r="C62"/>
  <c r="D62"/>
  <c r="E62"/>
  <c r="K62"/>
  <c r="L62" s="1"/>
  <c r="C63"/>
  <c r="D63"/>
  <c r="E63"/>
  <c r="K63"/>
  <c r="L63" s="1"/>
  <c r="C64"/>
  <c r="D64"/>
  <c r="E64"/>
  <c r="K64"/>
  <c r="L64" s="1"/>
  <c r="C65"/>
  <c r="D65"/>
  <c r="E65"/>
  <c r="K65"/>
  <c r="L65" s="1"/>
  <c r="C66"/>
  <c r="D66"/>
  <c r="E66"/>
  <c r="K66"/>
  <c r="L66" s="1"/>
  <c r="C67"/>
  <c r="D67"/>
  <c r="E67"/>
  <c r="K67"/>
  <c r="L67" s="1"/>
  <c r="C68"/>
  <c r="D68"/>
  <c r="E68"/>
  <c r="K68"/>
  <c r="L68" s="1"/>
  <c r="C69"/>
  <c r="D69"/>
  <c r="E69"/>
  <c r="K69"/>
  <c r="L69" s="1"/>
  <c r="C70"/>
  <c r="D70"/>
  <c r="E70"/>
  <c r="K70"/>
  <c r="L70" s="1"/>
  <c r="C71"/>
  <c r="D71"/>
  <c r="E71"/>
  <c r="K71"/>
  <c r="L71" s="1"/>
  <c r="C72"/>
  <c r="D72"/>
  <c r="E72"/>
  <c r="K72"/>
  <c r="L72" s="1"/>
  <c r="C73"/>
  <c r="D73"/>
  <c r="E73"/>
  <c r="K73"/>
  <c r="L73" s="1"/>
  <c r="C74"/>
  <c r="D74"/>
  <c r="E74"/>
  <c r="K74"/>
  <c r="L74" s="1"/>
  <c r="C75"/>
  <c r="D75"/>
  <c r="E75"/>
  <c r="K75"/>
  <c r="L75" s="1"/>
  <c r="C76"/>
  <c r="D76"/>
  <c r="E76"/>
  <c r="K76"/>
  <c r="L76" s="1"/>
  <c r="C77"/>
  <c r="D77"/>
  <c r="E77"/>
  <c r="K77"/>
  <c r="L77" s="1"/>
  <c r="C78"/>
  <c r="D78"/>
  <c r="E78"/>
  <c r="K78"/>
  <c r="L78" s="1"/>
  <c r="C79"/>
  <c r="D79"/>
  <c r="E79"/>
  <c r="K79"/>
  <c r="L79" s="1"/>
  <c r="C80"/>
  <c r="D80"/>
  <c r="E80"/>
  <c r="K80"/>
  <c r="L80" s="1"/>
  <c r="C81"/>
  <c r="D81"/>
  <c r="E81"/>
  <c r="K81"/>
  <c r="L81" s="1"/>
  <c r="C82"/>
  <c r="D82"/>
  <c r="E82"/>
  <c r="K82"/>
  <c r="L82" s="1"/>
  <c r="C83"/>
  <c r="D83"/>
  <c r="E83"/>
  <c r="K83"/>
  <c r="L83" s="1"/>
  <c r="C84"/>
  <c r="D84"/>
  <c r="E84"/>
  <c r="K84"/>
  <c r="L84" s="1"/>
  <c r="C85"/>
  <c r="D85"/>
  <c r="E85"/>
  <c r="K85"/>
  <c r="L85" s="1"/>
  <c r="F6" i="20"/>
  <c r="H6" s="1"/>
  <c r="I6"/>
  <c r="F7"/>
  <c r="H7" s="1"/>
  <c r="I7"/>
  <c r="J7"/>
  <c r="L7" s="1"/>
  <c r="F8"/>
  <c r="H8" s="1"/>
  <c r="I8"/>
  <c r="J8"/>
  <c r="F9"/>
  <c r="H9" s="1"/>
  <c r="I9"/>
  <c r="J9"/>
  <c r="F10"/>
  <c r="H10" s="1"/>
  <c r="I10"/>
  <c r="J10"/>
  <c r="F11"/>
  <c r="H11" s="1"/>
  <c r="I11"/>
  <c r="J11"/>
  <c r="F12"/>
  <c r="H12" s="1"/>
  <c r="I12"/>
  <c r="J12"/>
  <c r="F13"/>
  <c r="H13" s="1"/>
  <c r="I13"/>
  <c r="J13"/>
  <c r="F14"/>
  <c r="H14" s="1"/>
  <c r="I14"/>
  <c r="J14"/>
  <c r="F15"/>
  <c r="H15" s="1"/>
  <c r="I15"/>
  <c r="J15"/>
  <c r="F16"/>
  <c r="H16" s="1"/>
  <c r="I16"/>
  <c r="J16"/>
  <c r="F17"/>
  <c r="H17" s="1"/>
  <c r="I17"/>
  <c r="J17"/>
  <c r="F18"/>
  <c r="H18" s="1"/>
  <c r="I18"/>
  <c r="J18"/>
  <c r="F19"/>
  <c r="H19" s="1"/>
  <c r="I19"/>
  <c r="J19"/>
  <c r="F20"/>
  <c r="H20" s="1"/>
  <c r="I20"/>
  <c r="J20"/>
  <c r="F21"/>
  <c r="H21" s="1"/>
  <c r="I21"/>
  <c r="J21"/>
  <c r="F22"/>
  <c r="H22" s="1"/>
  <c r="I22"/>
  <c r="J22"/>
  <c r="F23"/>
  <c r="H23" s="1"/>
  <c r="I23"/>
  <c r="J23"/>
  <c r="F24"/>
  <c r="H24" s="1"/>
  <c r="I24"/>
  <c r="J24"/>
  <c r="F25"/>
  <c r="H25" s="1"/>
  <c r="I25"/>
  <c r="J25"/>
  <c r="F26"/>
  <c r="H26" s="1"/>
  <c r="I26"/>
  <c r="J26"/>
  <c r="F27"/>
  <c r="H27" s="1"/>
  <c r="I27"/>
  <c r="J27"/>
  <c r="F28"/>
  <c r="H28" s="1"/>
  <c r="I28"/>
  <c r="J28"/>
  <c r="F29"/>
  <c r="H29" s="1"/>
  <c r="I29"/>
  <c r="J29"/>
  <c r="Q29"/>
  <c r="R29"/>
  <c r="F30"/>
  <c r="H30" s="1"/>
  <c r="I30"/>
  <c r="J30"/>
  <c r="F31"/>
  <c r="H31" s="1"/>
  <c r="I31"/>
  <c r="J31"/>
  <c r="F32"/>
  <c r="H32" s="1"/>
  <c r="I32"/>
  <c r="J32"/>
  <c r="V32"/>
  <c r="F33"/>
  <c r="H33" s="1"/>
  <c r="I33"/>
  <c r="J33"/>
  <c r="F34"/>
  <c r="H34" s="1"/>
  <c r="I34"/>
  <c r="J34"/>
  <c r="F35"/>
  <c r="H35" s="1"/>
  <c r="I35"/>
  <c r="J35"/>
  <c r="F36"/>
  <c r="H36" s="1"/>
  <c r="I36"/>
  <c r="J36"/>
  <c r="F37"/>
  <c r="H37" s="1"/>
  <c r="I37"/>
  <c r="J37"/>
  <c r="AA37"/>
  <c r="F38"/>
  <c r="H38" s="1"/>
  <c r="I38"/>
  <c r="J38"/>
  <c r="R38"/>
  <c r="R44" s="1"/>
  <c r="F39"/>
  <c r="H39" s="1"/>
  <c r="I39"/>
  <c r="J39"/>
  <c r="F40"/>
  <c r="H40" s="1"/>
  <c r="I40"/>
  <c r="J40"/>
  <c r="F41"/>
  <c r="H41" s="1"/>
  <c r="I41"/>
  <c r="J41"/>
  <c r="AA41"/>
  <c r="F42"/>
  <c r="H42" s="1"/>
  <c r="I42"/>
  <c r="J42"/>
  <c r="R42"/>
  <c r="F43"/>
  <c r="H43" s="1"/>
  <c r="I43"/>
  <c r="J43"/>
  <c r="V43"/>
  <c r="F44"/>
  <c r="H44" s="1"/>
  <c r="I44"/>
  <c r="J44"/>
  <c r="F45"/>
  <c r="H45" s="1"/>
  <c r="I45"/>
  <c r="J45"/>
  <c r="F46"/>
  <c r="H46" s="1"/>
  <c r="I46"/>
  <c r="J46"/>
  <c r="V46"/>
  <c r="F47"/>
  <c r="H47" s="1"/>
  <c r="I47"/>
  <c r="J47"/>
  <c r="F48"/>
  <c r="H48" s="1"/>
  <c r="I48"/>
  <c r="J48"/>
  <c r="F49"/>
  <c r="H49" s="1"/>
  <c r="I49"/>
  <c r="J49"/>
  <c r="F50"/>
  <c r="H50" s="1"/>
  <c r="I50"/>
  <c r="J50"/>
  <c r="F51"/>
  <c r="H51" s="1"/>
  <c r="I51"/>
  <c r="U51"/>
  <c r="W51" s="1"/>
  <c r="E30" i="29" l="1"/>
  <c r="I32" i="30"/>
  <c r="I28"/>
  <c r="G13"/>
  <c r="G9"/>
  <c r="L8" i="20"/>
  <c r="L9" s="1"/>
  <c r="L10" s="1"/>
  <c r="L11" s="1"/>
  <c r="L12" s="1"/>
  <c r="L13" s="1"/>
  <c r="L14" s="1"/>
  <c r="L15" s="1"/>
  <c r="L16" s="1"/>
  <c r="L17" s="1"/>
  <c r="L18" s="1"/>
  <c r="L19" s="1"/>
  <c r="L20" s="1"/>
  <c r="L21" s="1"/>
  <c r="L22" s="1"/>
  <c r="L23" s="1"/>
  <c r="L24" s="1"/>
  <c r="L25" s="1"/>
  <c r="L26" s="1"/>
  <c r="L27" s="1"/>
  <c r="L28" s="1"/>
  <c r="L29" s="1"/>
  <c r="L30" s="1"/>
  <c r="L31" s="1"/>
  <c r="L32" s="1"/>
  <c r="L33" s="1"/>
  <c r="L34" s="1"/>
  <c r="L35" s="1"/>
  <c r="L36" s="1"/>
  <c r="L37" s="1"/>
  <c r="L38" s="1"/>
  <c r="L39" s="1"/>
  <c r="L40" s="1"/>
  <c r="L41" s="1"/>
  <c r="L42" s="1"/>
  <c r="L43" s="1"/>
  <c r="L44" s="1"/>
  <c r="L45" s="1"/>
  <c r="L46" s="1"/>
  <c r="L47" s="1"/>
  <c r="L48" s="1"/>
  <c r="L49" s="1"/>
  <c r="L50" s="1"/>
  <c r="L51" s="1"/>
  <c r="B35" i="24"/>
  <c r="C28"/>
  <c r="R17" i="28"/>
  <c r="S17"/>
  <c r="R15"/>
  <c r="S13"/>
  <c r="S11"/>
  <c r="S9"/>
  <c r="S7"/>
  <c r="P6" i="29"/>
  <c r="O6" s="1"/>
  <c r="G14" i="30"/>
  <c r="G21"/>
  <c r="I38"/>
  <c r="I46"/>
  <c r="I54"/>
  <c r="I62"/>
  <c r="I70"/>
  <c r="I78"/>
  <c r="I86"/>
  <c r="G102"/>
  <c r="G110"/>
  <c r="G118"/>
  <c r="G126"/>
  <c r="G134"/>
  <c r="G142"/>
  <c r="G155"/>
  <c r="G157"/>
  <c r="G161"/>
  <c r="G165"/>
  <c r="G169"/>
  <c r="G173"/>
  <c r="G99"/>
  <c r="I113"/>
  <c r="G107"/>
  <c r="I121"/>
  <c r="G115"/>
  <c r="I129"/>
  <c r="G123"/>
  <c r="I137"/>
  <c r="G131"/>
  <c r="I145"/>
  <c r="G139"/>
  <c r="I153"/>
  <c r="I158"/>
  <c r="I166"/>
  <c r="G108"/>
  <c r="G116"/>
  <c r="G124"/>
  <c r="G132"/>
  <c r="G140"/>
  <c r="G148"/>
  <c r="I170"/>
  <c r="G162"/>
  <c r="G166"/>
  <c r="I178"/>
  <c r="G101"/>
  <c r="G109"/>
  <c r="G117"/>
  <c r="G125"/>
  <c r="G133"/>
  <c r="G141"/>
  <c r="I160"/>
  <c r="I164"/>
  <c r="I177"/>
  <c r="R16" i="28"/>
  <c r="P4" i="9"/>
  <c r="O4"/>
  <c r="M17" i="14"/>
  <c r="O17" s="1"/>
  <c r="X5"/>
  <c r="Z5" s="1"/>
  <c r="G20" i="24"/>
  <c r="F16"/>
  <c r="F14"/>
  <c r="P5" i="29"/>
  <c r="W5" s="1"/>
  <c r="I157" i="30"/>
  <c r="I165"/>
  <c r="I173"/>
  <c r="I181"/>
  <c r="R43" i="20"/>
  <c r="F85" i="21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G12" i="23"/>
  <c r="G11"/>
  <c r="F17" i="24"/>
  <c r="F15"/>
  <c r="F13"/>
  <c r="R12" i="28"/>
  <c r="R10"/>
  <c r="R8"/>
  <c r="R6"/>
  <c r="K7" i="20"/>
  <c r="K8" s="1"/>
  <c r="K9" s="1"/>
  <c r="K10" s="1"/>
  <c r="K11" s="1"/>
  <c r="K12" s="1"/>
  <c r="K13" s="1"/>
  <c r="K14" s="1"/>
  <c r="K15" s="1"/>
  <c r="K16" s="1"/>
  <c r="K17" s="1"/>
  <c r="K18" s="1"/>
  <c r="K19" s="1"/>
  <c r="K20" s="1"/>
  <c r="K21" s="1"/>
  <c r="K22" s="1"/>
  <c r="K23" s="1"/>
  <c r="K24" s="1"/>
  <c r="K25" s="1"/>
  <c r="K26" s="1"/>
  <c r="K27" s="1"/>
  <c r="K28" s="1"/>
  <c r="K29" s="1"/>
  <c r="K30" s="1"/>
  <c r="K31" s="1"/>
  <c r="K32" s="1"/>
  <c r="K33" s="1"/>
  <c r="K34" s="1"/>
  <c r="K35" s="1"/>
  <c r="K36" s="1"/>
  <c r="K37" s="1"/>
  <c r="K38" s="1"/>
  <c r="K39" s="1"/>
  <c r="K40" s="1"/>
  <c r="K41" s="1"/>
  <c r="K42" s="1"/>
  <c r="K43" s="1"/>
  <c r="K44" s="1"/>
  <c r="K45" s="1"/>
  <c r="K46" s="1"/>
  <c r="K47" s="1"/>
  <c r="K48" s="1"/>
  <c r="K49" s="1"/>
  <c r="K50" s="1"/>
  <c r="K51" s="1"/>
  <c r="G19" i="30"/>
  <c r="I36"/>
  <c r="I115"/>
  <c r="I116"/>
  <c r="I123"/>
  <c r="I124"/>
  <c r="I131"/>
  <c r="I132"/>
  <c r="I139"/>
  <c r="I140"/>
  <c r="I147"/>
  <c r="I148"/>
  <c r="I155"/>
  <c r="I156"/>
  <c r="I168"/>
  <c r="Z20" i="32"/>
  <c r="I161" i="30"/>
  <c r="I169"/>
  <c r="O16" i="14"/>
  <c r="O18"/>
  <c r="O20"/>
  <c r="O22"/>
  <c r="O24"/>
  <c r="O26"/>
  <c r="Q17"/>
  <c r="Q19"/>
  <c r="Q21"/>
  <c r="Q23"/>
  <c r="Q25"/>
  <c r="W2" i="32"/>
  <c r="G37" i="31"/>
  <c r="G38" s="1"/>
  <c r="G39" s="1"/>
  <c r="G40" s="1"/>
  <c r="G41" s="1"/>
  <c r="G42" s="1"/>
  <c r="G43" s="1"/>
  <c r="G44" s="1"/>
  <c r="G45" s="1"/>
  <c r="G46" s="1"/>
  <c r="G47" s="1"/>
  <c r="G48" s="1"/>
  <c r="G49" s="1"/>
  <c r="G50" s="1"/>
  <c r="G51" s="1"/>
  <c r="G52" s="1"/>
  <c r="G53" s="1"/>
  <c r="G54" s="1"/>
  <c r="G55" s="1"/>
  <c r="G56" s="1"/>
  <c r="G57" s="1"/>
  <c r="G58" s="1"/>
  <c r="G59" s="1"/>
  <c r="G60" s="1"/>
  <c r="G61" s="1"/>
  <c r="J20" s="1"/>
  <c r="J22" s="1"/>
  <c r="M15"/>
  <c r="P15" s="1"/>
  <c r="M16"/>
  <c r="P16" s="1"/>
  <c r="G95" i="30"/>
  <c r="G96"/>
  <c r="I106"/>
  <c r="I107"/>
  <c r="G92"/>
  <c r="G91"/>
  <c r="I102"/>
  <c r="I103"/>
  <c r="G88"/>
  <c r="G87"/>
  <c r="I98"/>
  <c r="I99"/>
  <c r="G84"/>
  <c r="G83"/>
  <c r="I95"/>
  <c r="G80"/>
  <c r="G79"/>
  <c r="I91"/>
  <c r="G76"/>
  <c r="G75"/>
  <c r="I87"/>
  <c r="G72"/>
  <c r="G71"/>
  <c r="I83"/>
  <c r="G68"/>
  <c r="G67"/>
  <c r="I79"/>
  <c r="G64"/>
  <c r="G63"/>
  <c r="I75"/>
  <c r="G60"/>
  <c r="G59"/>
  <c r="I71"/>
  <c r="G56"/>
  <c r="G55"/>
  <c r="I67"/>
  <c r="G52"/>
  <c r="G51"/>
  <c r="I63"/>
  <c r="G48"/>
  <c r="G47"/>
  <c r="I59"/>
  <c r="G44"/>
  <c r="G43"/>
  <c r="I55"/>
  <c r="G40"/>
  <c r="G39"/>
  <c r="I51"/>
  <c r="G36"/>
  <c r="G35"/>
  <c r="I47"/>
  <c r="G32"/>
  <c r="G31"/>
  <c r="I43"/>
  <c r="G28"/>
  <c r="G27"/>
  <c r="I39"/>
  <c r="G24"/>
  <c r="I35"/>
  <c r="G20"/>
  <c r="I31"/>
  <c r="G16"/>
  <c r="I27"/>
  <c r="G11"/>
  <c r="I22"/>
  <c r="G98"/>
  <c r="I108"/>
  <c r="G97"/>
  <c r="I109"/>
  <c r="G94"/>
  <c r="G93"/>
  <c r="I104"/>
  <c r="I105"/>
  <c r="G90"/>
  <c r="G89"/>
  <c r="I100"/>
  <c r="I101"/>
  <c r="G86"/>
  <c r="G85"/>
  <c r="I96"/>
  <c r="I97"/>
  <c r="G82"/>
  <c r="G81"/>
  <c r="I93"/>
  <c r="G78"/>
  <c r="G77"/>
  <c r="I89"/>
  <c r="G74"/>
  <c r="G73"/>
  <c r="I85"/>
  <c r="G70"/>
  <c r="G69"/>
  <c r="I81"/>
  <c r="G66"/>
  <c r="G65"/>
  <c r="I77"/>
  <c r="G62"/>
  <c r="G61"/>
  <c r="I73"/>
  <c r="G58"/>
  <c r="G57"/>
  <c r="I69"/>
  <c r="G54"/>
  <c r="G53"/>
  <c r="I65"/>
  <c r="G50"/>
  <c r="G49"/>
  <c r="I61"/>
  <c r="G46"/>
  <c r="G45"/>
  <c r="I57"/>
  <c r="G42"/>
  <c r="G41"/>
  <c r="I53"/>
  <c r="G38"/>
  <c r="G37"/>
  <c r="I49"/>
  <c r="G34"/>
  <c r="G33"/>
  <c r="I45"/>
  <c r="G30"/>
  <c r="G29"/>
  <c r="I41"/>
  <c r="G26"/>
  <c r="G25"/>
  <c r="I37"/>
  <c r="G22"/>
  <c r="I33"/>
  <c r="G18"/>
  <c r="I29"/>
  <c r="I26"/>
  <c r="G15"/>
  <c r="I23"/>
  <c r="I25"/>
  <c r="G10"/>
  <c r="I21"/>
  <c r="G21" i="24"/>
  <c r="G23" s="1"/>
  <c r="F12"/>
  <c r="H14"/>
  <c r="H16"/>
  <c r="H13"/>
  <c r="H15"/>
  <c r="H17"/>
  <c r="L6" i="21"/>
  <c r="F4"/>
  <c r="Y51" i="20"/>
  <c r="U52"/>
  <c r="W52" s="1"/>
  <c r="Y52" s="1"/>
  <c r="Y54" s="1"/>
  <c r="L58" i="13"/>
  <c r="L50"/>
  <c r="L40"/>
  <c r="H4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C58"/>
  <c r="C57"/>
  <c r="C56"/>
  <c r="C55"/>
  <c r="C54"/>
  <c r="C53"/>
  <c r="C52"/>
  <c r="C51"/>
  <c r="B51"/>
  <c r="D51" s="1"/>
  <c r="D50"/>
  <c r="C50"/>
  <c r="B41"/>
  <c r="B42" s="1"/>
  <c r="C48"/>
  <c r="C47"/>
  <c r="C46"/>
  <c r="C45"/>
  <c r="C44"/>
  <c r="C43"/>
  <c r="D40"/>
  <c r="C42"/>
  <c r="C41"/>
  <c r="C40"/>
  <c r="I10" i="5"/>
  <c r="J10" s="1"/>
  <c r="K10" s="1"/>
  <c r="I11"/>
  <c r="J11" s="1"/>
  <c r="K11" s="1"/>
  <c r="I12"/>
  <c r="J12" s="1"/>
  <c r="K12" s="1"/>
  <c r="R13" i="14"/>
  <c r="R12"/>
  <c r="R11"/>
  <c r="R10"/>
  <c r="R9"/>
  <c r="R8"/>
  <c r="R7"/>
  <c r="R6"/>
  <c r="R5"/>
  <c r="R4"/>
  <c r="L211" i="15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B35"/>
  <c r="C35"/>
  <c r="D35"/>
  <c r="M35"/>
  <c r="M36"/>
  <c r="B37"/>
  <c r="C37"/>
  <c r="D37"/>
  <c r="M37"/>
  <c r="B38"/>
  <c r="C38"/>
  <c r="D38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E2" i="4"/>
  <c r="F2" s="1"/>
  <c r="E1"/>
  <c r="B4" i="9"/>
  <c r="B3"/>
  <c r="B2"/>
  <c r="B1"/>
  <c r="M2" i="2"/>
  <c r="N2" s="1"/>
  <c r="L2"/>
  <c r="C4" i="14"/>
  <c r="J4"/>
  <c r="U4"/>
  <c r="V4"/>
  <c r="C5"/>
  <c r="J5"/>
  <c r="M5" s="1"/>
  <c r="U5"/>
  <c r="V5"/>
  <c r="C6"/>
  <c r="J6"/>
  <c r="L6"/>
  <c r="P6" s="1"/>
  <c r="M6"/>
  <c r="U6"/>
  <c r="C7"/>
  <c r="J7"/>
  <c r="L7"/>
  <c r="P7" s="1"/>
  <c r="M7"/>
  <c r="U7"/>
  <c r="C8"/>
  <c r="J8"/>
  <c r="L8"/>
  <c r="P8" s="1"/>
  <c r="M8"/>
  <c r="U8"/>
  <c r="C9"/>
  <c r="J9"/>
  <c r="M9" s="1"/>
  <c r="L9"/>
  <c r="P9" s="1"/>
  <c r="U9"/>
  <c r="C10"/>
  <c r="J10"/>
  <c r="L10"/>
  <c r="P10" s="1"/>
  <c r="M10"/>
  <c r="U10"/>
  <c r="C11"/>
  <c r="J11"/>
  <c r="M11" s="1"/>
  <c r="U11"/>
  <c r="V11"/>
  <c r="C12"/>
  <c r="J12"/>
  <c r="M12" s="1"/>
  <c r="U12"/>
  <c r="V12"/>
  <c r="C13"/>
  <c r="J13"/>
  <c r="M13" s="1"/>
  <c r="U13"/>
  <c r="V13"/>
  <c r="C14"/>
  <c r="J14"/>
  <c r="M14" s="1"/>
  <c r="U14"/>
  <c r="V14"/>
  <c r="C15"/>
  <c r="J15"/>
  <c r="M15" s="1"/>
  <c r="U15"/>
  <c r="J49"/>
  <c r="L66"/>
  <c r="C2" i="9" l="1"/>
  <c r="I2" s="1"/>
  <c r="J2" s="1"/>
  <c r="C3"/>
  <c r="I3" s="1"/>
  <c r="J3" s="1"/>
  <c r="C36" i="15"/>
  <c r="E40" i="13"/>
  <c r="D41"/>
  <c r="E41" s="1"/>
  <c r="F41" s="1"/>
  <c r="C4" i="9"/>
  <c r="I4" s="1"/>
  <c r="J4" s="1"/>
  <c r="V10" i="14"/>
  <c r="V9"/>
  <c r="V8"/>
  <c r="V7"/>
  <c r="V6"/>
  <c r="M4"/>
  <c r="X4"/>
  <c r="Z4" s="1"/>
  <c r="D36" i="15"/>
  <c r="Q4" i="9"/>
  <c r="O15" i="14"/>
  <c r="Q15"/>
  <c r="Q14"/>
  <c r="O14"/>
  <c r="O13"/>
  <c r="Q13"/>
  <c r="Q12"/>
  <c r="O12"/>
  <c r="O11"/>
  <c r="Q11"/>
  <c r="T11" s="1"/>
  <c r="N10"/>
  <c r="Q10"/>
  <c r="O10"/>
  <c r="N9"/>
  <c r="O9"/>
  <c r="Q9"/>
  <c r="T9" s="1"/>
  <c r="N8"/>
  <c r="Q8"/>
  <c r="O8"/>
  <c r="N7"/>
  <c r="O7"/>
  <c r="Q7"/>
  <c r="T7" s="1"/>
  <c r="N6"/>
  <c r="Q6"/>
  <c r="T6" s="1"/>
  <c r="O6"/>
  <c r="O5"/>
  <c r="Q5"/>
  <c r="Q4"/>
  <c r="T4" s="1"/>
  <c r="O4"/>
  <c r="G62" i="31"/>
  <c r="M17"/>
  <c r="P17" s="1"/>
  <c r="V49" i="14"/>
  <c r="E50" i="13"/>
  <c r="F50" s="1"/>
  <c r="H20" i="24"/>
  <c r="H21" s="1"/>
  <c r="N12" i="14"/>
  <c r="T12"/>
  <c r="N5"/>
  <c r="T5"/>
  <c r="T10"/>
  <c r="T8"/>
  <c r="B43" i="13"/>
  <c r="L43" s="1"/>
  <c r="L42"/>
  <c r="D42"/>
  <c r="E42" s="1"/>
  <c r="L41"/>
  <c r="L51"/>
  <c r="AA51" i="20"/>
  <c r="AC51" s="1"/>
  <c r="G50" i="13"/>
  <c r="K50" s="1"/>
  <c r="E51"/>
  <c r="B52"/>
  <c r="L52" s="1"/>
  <c r="B44"/>
  <c r="L44" s="1"/>
  <c r="G40"/>
  <c r="K40" s="1"/>
  <c r="F40"/>
  <c r="N15" i="14"/>
  <c r="N13"/>
  <c r="N14"/>
  <c r="N11"/>
  <c r="N4"/>
  <c r="H7" i="5"/>
  <c r="J7" s="1"/>
  <c r="K7" s="1"/>
  <c r="H6"/>
  <c r="H5"/>
  <c r="H4"/>
  <c r="G7" i="4"/>
  <c r="G52" i="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7"/>
  <c r="E62" i="5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0"/>
  <c r="E19"/>
  <c r="E18"/>
  <c r="E17"/>
  <c r="E16"/>
  <c r="E15"/>
  <c r="E14"/>
  <c r="E13"/>
  <c r="E12"/>
  <c r="E11"/>
  <c r="E10"/>
  <c r="E9"/>
  <c r="E8"/>
  <c r="E7"/>
  <c r="E6"/>
  <c r="E41" i="9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I5" i="8"/>
  <c r="I4"/>
  <c r="P6" i="10"/>
  <c r="R6" s="1"/>
  <c r="P5"/>
  <c r="R5" s="1"/>
  <c r="P4"/>
  <c r="R4" s="1"/>
  <c r="F49"/>
  <c r="E49"/>
  <c r="D49"/>
  <c r="F48"/>
  <c r="E48"/>
  <c r="D48"/>
  <c r="F47"/>
  <c r="E47"/>
  <c r="D47"/>
  <c r="F46"/>
  <c r="E46"/>
  <c r="D46"/>
  <c r="F45"/>
  <c r="E45"/>
  <c r="D45"/>
  <c r="F44"/>
  <c r="E44"/>
  <c r="D44"/>
  <c r="F43"/>
  <c r="E43"/>
  <c r="D43"/>
  <c r="F42"/>
  <c r="E42"/>
  <c r="D42"/>
  <c r="F41"/>
  <c r="E41"/>
  <c r="D41"/>
  <c r="F40"/>
  <c r="E40"/>
  <c r="D40"/>
  <c r="F39"/>
  <c r="E39"/>
  <c r="D39"/>
  <c r="F38"/>
  <c r="E38"/>
  <c r="D38"/>
  <c r="F37"/>
  <c r="E37"/>
  <c r="D37"/>
  <c r="F36"/>
  <c r="E36"/>
  <c r="D36"/>
  <c r="F35"/>
  <c r="E35"/>
  <c r="D35"/>
  <c r="F34"/>
  <c r="E34"/>
  <c r="D34"/>
  <c r="F33"/>
  <c r="E33"/>
  <c r="D33"/>
  <c r="F32"/>
  <c r="E32"/>
  <c r="D32"/>
  <c r="F31"/>
  <c r="E31"/>
  <c r="D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E29" i="8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S42"/>
  <c r="D29"/>
  <c r="F29" s="1"/>
  <c r="D28"/>
  <c r="F28" s="1"/>
  <c r="D27"/>
  <c r="F27" s="1"/>
  <c r="D26"/>
  <c r="F26" s="1"/>
  <c r="D25"/>
  <c r="F25" s="1"/>
  <c r="D24"/>
  <c r="F24" s="1"/>
  <c r="D23"/>
  <c r="F23" s="1"/>
  <c r="D22"/>
  <c r="F22" s="1"/>
  <c r="D21"/>
  <c r="F21" s="1"/>
  <c r="D20"/>
  <c r="F20" s="1"/>
  <c r="D19"/>
  <c r="F19" s="1"/>
  <c r="D18"/>
  <c r="F18" s="1"/>
  <c r="D17"/>
  <c r="F17" s="1"/>
  <c r="D16"/>
  <c r="F16" s="1"/>
  <c r="D15"/>
  <c r="F15" s="1"/>
  <c r="D14"/>
  <c r="F14" s="1"/>
  <c r="D13"/>
  <c r="F13" s="1"/>
  <c r="D12"/>
  <c r="F12" s="1"/>
  <c r="D11"/>
  <c r="F11" s="1"/>
  <c r="D10"/>
  <c r="F10" s="1"/>
  <c r="D9"/>
  <c r="F9" s="1"/>
  <c r="D8"/>
  <c r="F8" s="1"/>
  <c r="D7"/>
  <c r="F7" s="1"/>
  <c r="D6"/>
  <c r="F6" s="1"/>
  <c r="D5"/>
  <c r="F5" s="1"/>
  <c r="F41" i="9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F62" i="5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H21" s="1"/>
  <c r="F20"/>
  <c r="F19"/>
  <c r="F18"/>
  <c r="F17"/>
  <c r="F16"/>
  <c r="F15"/>
  <c r="F14"/>
  <c r="F13"/>
  <c r="F12"/>
  <c r="F11"/>
  <c r="F10"/>
  <c r="F9"/>
  <c r="F8"/>
  <c r="F7"/>
  <c r="F6"/>
  <c r="C5"/>
  <c r="F5"/>
  <c r="C28" i="4"/>
  <c r="H27"/>
  <c r="F27"/>
  <c r="G27" s="1"/>
  <c r="C27"/>
  <c r="H26"/>
  <c r="F26"/>
  <c r="G26" s="1"/>
  <c r="C26"/>
  <c r="H25"/>
  <c r="F25"/>
  <c r="G25" s="1"/>
  <c r="C25"/>
  <c r="H24"/>
  <c r="F24"/>
  <c r="G24" s="1"/>
  <c r="C24"/>
  <c r="H23"/>
  <c r="F23"/>
  <c r="G23" s="1"/>
  <c r="C23"/>
  <c r="H22"/>
  <c r="F22"/>
  <c r="G22" s="1"/>
  <c r="C22"/>
  <c r="H21"/>
  <c r="F21"/>
  <c r="G21" s="1"/>
  <c r="C21"/>
  <c r="H20"/>
  <c r="F20"/>
  <c r="G20" s="1"/>
  <c r="C20"/>
  <c r="H19"/>
  <c r="F19"/>
  <c r="G19" s="1"/>
  <c r="C19"/>
  <c r="H18"/>
  <c r="F18"/>
  <c r="G18" s="1"/>
  <c r="C18"/>
  <c r="H17"/>
  <c r="F17"/>
  <c r="G17" s="1"/>
  <c r="C17"/>
  <c r="H16"/>
  <c r="F16"/>
  <c r="G16" s="1"/>
  <c r="C16"/>
  <c r="H15"/>
  <c r="F15"/>
  <c r="G15" s="1"/>
  <c r="C15"/>
  <c r="H14"/>
  <c r="F14"/>
  <c r="G14" s="1"/>
  <c r="C14"/>
  <c r="H13"/>
  <c r="F13"/>
  <c r="G13" s="1"/>
  <c r="C13"/>
  <c r="H12"/>
  <c r="F12"/>
  <c r="G12" s="1"/>
  <c r="C12"/>
  <c r="H11"/>
  <c r="F11"/>
  <c r="G11" s="1"/>
  <c r="C11"/>
  <c r="H10"/>
  <c r="F10"/>
  <c r="G10" s="1"/>
  <c r="C10"/>
  <c r="H9"/>
  <c r="F9"/>
  <c r="G9" s="1"/>
  <c r="C9"/>
  <c r="H8"/>
  <c r="F8"/>
  <c r="G8" s="1"/>
  <c r="H7"/>
  <c r="H27" i="2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F8"/>
  <c r="G8" s="1"/>
  <c r="F27"/>
  <c r="G27" s="1"/>
  <c r="F26"/>
  <c r="G26" s="1"/>
  <c r="F25"/>
  <c r="G25" s="1"/>
  <c r="F24"/>
  <c r="G24" s="1"/>
  <c r="F23"/>
  <c r="G23" s="1"/>
  <c r="F22"/>
  <c r="G22" s="1"/>
  <c r="F21"/>
  <c r="G21" s="1"/>
  <c r="F20"/>
  <c r="G20" s="1"/>
  <c r="F19"/>
  <c r="G19" s="1"/>
  <c r="F18"/>
  <c r="G18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H22" i="5" l="1"/>
  <c r="H23" s="1"/>
  <c r="H24" s="1"/>
  <c r="H25" s="1"/>
  <c r="H26" s="1"/>
  <c r="H27" s="1"/>
  <c r="H28" s="1"/>
  <c r="H29" s="1"/>
  <c r="H30" s="1"/>
  <c r="H31" s="1"/>
  <c r="H32" s="1"/>
  <c r="H33" s="1"/>
  <c r="H34" s="1"/>
  <c r="H35" s="1"/>
  <c r="H36" s="1"/>
  <c r="H37" s="1"/>
  <c r="H38" s="1"/>
  <c r="H39" s="1"/>
  <c r="H40" s="1"/>
  <c r="H41" s="1"/>
  <c r="H42" s="1"/>
  <c r="H43" s="1"/>
  <c r="H44" s="1"/>
  <c r="H45" s="1"/>
  <c r="H46" s="1"/>
  <c r="H47" s="1"/>
  <c r="H48" s="1"/>
  <c r="H49" s="1"/>
  <c r="H50" s="1"/>
  <c r="H51" s="1"/>
  <c r="H52" s="1"/>
  <c r="H53" s="1"/>
  <c r="H54" s="1"/>
  <c r="H55" s="1"/>
  <c r="H56" s="1"/>
  <c r="H57" s="1"/>
  <c r="H58" s="1"/>
  <c r="H59" s="1"/>
  <c r="H60" s="1"/>
  <c r="H61" s="1"/>
  <c r="H62" s="1"/>
  <c r="H63" s="1"/>
  <c r="H64" s="1"/>
  <c r="H65" s="1"/>
  <c r="H66" s="1"/>
  <c r="H67" s="1"/>
  <c r="H68" s="1"/>
  <c r="H69" s="1"/>
  <c r="H70" s="1"/>
  <c r="H71" s="1"/>
  <c r="H72" s="1"/>
  <c r="H73" s="1"/>
  <c r="H74" s="1"/>
  <c r="H75" s="1"/>
  <c r="H76" s="1"/>
  <c r="H77" s="1"/>
  <c r="H78" s="1"/>
  <c r="H79" s="1"/>
  <c r="H80" s="1"/>
  <c r="H81" s="1"/>
  <c r="H82" s="1"/>
  <c r="H83" s="1"/>
  <c r="H84" s="1"/>
  <c r="H85" s="1"/>
  <c r="H86" s="1"/>
  <c r="H87" s="1"/>
  <c r="H88" s="1"/>
  <c r="H89" s="1"/>
  <c r="H90" s="1"/>
  <c r="H91" s="1"/>
  <c r="H92" s="1"/>
  <c r="H93" s="1"/>
  <c r="H94" s="1"/>
  <c r="H95" s="1"/>
  <c r="H96" s="1"/>
  <c r="H97" s="1"/>
  <c r="H98" s="1"/>
  <c r="H99" s="1"/>
  <c r="H100" s="1"/>
  <c r="H101" s="1"/>
  <c r="H102" s="1"/>
  <c r="H103" s="1"/>
  <c r="H104" s="1"/>
  <c r="H105" s="1"/>
  <c r="H106" s="1"/>
  <c r="H107" s="1"/>
  <c r="H108" s="1"/>
  <c r="H109" s="1"/>
  <c r="H110" s="1"/>
  <c r="H111" s="1"/>
  <c r="H112" s="1"/>
  <c r="H113" s="1"/>
  <c r="H114" s="1"/>
  <c r="H115" s="1"/>
  <c r="H116" s="1"/>
  <c r="H117" s="1"/>
  <c r="H118" s="1"/>
  <c r="H119" s="1"/>
  <c r="H120" s="1"/>
  <c r="H121" s="1"/>
  <c r="H122" s="1"/>
  <c r="H123" s="1"/>
  <c r="H124" s="1"/>
  <c r="H125" s="1"/>
  <c r="H126" s="1"/>
  <c r="H127" s="1"/>
  <c r="H128" s="1"/>
  <c r="H129" s="1"/>
  <c r="H130" s="1"/>
  <c r="H131" s="1"/>
  <c r="H132" s="1"/>
  <c r="H133" s="1"/>
  <c r="H134" s="1"/>
  <c r="H135" s="1"/>
  <c r="H136" s="1"/>
  <c r="H137" s="1"/>
  <c r="H138" s="1"/>
  <c r="H139" s="1"/>
  <c r="H140" s="1"/>
  <c r="H141" s="1"/>
  <c r="H142" s="1"/>
  <c r="H143" s="1"/>
  <c r="H144" s="1"/>
  <c r="H145" s="1"/>
  <c r="H146" s="1"/>
  <c r="H147" s="1"/>
  <c r="H148" s="1"/>
  <c r="H149" s="1"/>
  <c r="H150" s="1"/>
  <c r="H151" s="1"/>
  <c r="H152" s="1"/>
  <c r="H153" s="1"/>
  <c r="H154" s="1"/>
  <c r="H155" s="1"/>
  <c r="H156" s="1"/>
  <c r="H157" s="1"/>
  <c r="H158" s="1"/>
  <c r="H159" s="1"/>
  <c r="H160" s="1"/>
  <c r="K20" s="1"/>
  <c r="L20" s="1"/>
  <c r="K5" i="8"/>
  <c r="J5" i="5"/>
  <c r="K5" s="1"/>
  <c r="J6"/>
  <c r="K6" s="1"/>
  <c r="D43" i="13"/>
  <c r="E43" s="1"/>
  <c r="J62" i="31"/>
  <c r="G63"/>
  <c r="G42" i="13"/>
  <c r="K42" s="1"/>
  <c r="F42"/>
  <c r="F43"/>
  <c r="G43"/>
  <c r="J43" s="1"/>
  <c r="J50"/>
  <c r="J40"/>
  <c r="G41"/>
  <c r="I41" s="1"/>
  <c r="B53"/>
  <c r="L53" s="1"/>
  <c r="D52"/>
  <c r="E52" s="1"/>
  <c r="F51"/>
  <c r="G51"/>
  <c r="K51" s="1"/>
  <c r="I50"/>
  <c r="B45"/>
  <c r="L45" s="1"/>
  <c r="D44"/>
  <c r="E44" s="1"/>
  <c r="I43"/>
  <c r="I40"/>
  <c r="T49" i="14"/>
  <c r="I42" i="13" l="1"/>
  <c r="J42"/>
  <c r="J63" i="31"/>
  <c r="G64"/>
  <c r="G65" s="1"/>
  <c r="G66" s="1"/>
  <c r="G67" s="1"/>
  <c r="G68" s="1"/>
  <c r="G69" s="1"/>
  <c r="G70" s="1"/>
  <c r="K43" i="13"/>
  <c r="J51"/>
  <c r="K41"/>
  <c r="J41"/>
  <c r="I51"/>
  <c r="D53"/>
  <c r="E53" s="1"/>
  <c r="B54"/>
  <c r="L54" s="1"/>
  <c r="G52"/>
  <c r="K52" s="1"/>
  <c r="F52"/>
  <c r="B46"/>
  <c r="L46" s="1"/>
  <c r="D45"/>
  <c r="E45" s="1"/>
  <c r="F44"/>
  <c r="G44"/>
  <c r="K44" s="1"/>
  <c r="J44" l="1"/>
  <c r="J52"/>
  <c r="F53"/>
  <c r="G53"/>
  <c r="K53" s="1"/>
  <c r="B55"/>
  <c r="L55" s="1"/>
  <c r="D54"/>
  <c r="E54" s="1"/>
  <c r="I52"/>
  <c r="B47"/>
  <c r="L47" s="1"/>
  <c r="D46"/>
  <c r="E46" s="1"/>
  <c r="I44"/>
  <c r="F45"/>
  <c r="G45"/>
  <c r="K45" s="1"/>
  <c r="J45" l="1"/>
  <c r="J53"/>
  <c r="I53"/>
  <c r="D55"/>
  <c r="E55" s="1"/>
  <c r="B56"/>
  <c r="L56" s="1"/>
  <c r="G54"/>
  <c r="K54" s="1"/>
  <c r="F54"/>
  <c r="B48"/>
  <c r="D47"/>
  <c r="E47" s="1"/>
  <c r="F46"/>
  <c r="G46"/>
  <c r="K46" s="1"/>
  <c r="I45"/>
  <c r="J54" l="1"/>
  <c r="J46"/>
  <c r="D48"/>
  <c r="E48" s="1"/>
  <c r="L48"/>
  <c r="I46"/>
  <c r="F55"/>
  <c r="G55"/>
  <c r="K55" s="1"/>
  <c r="B57"/>
  <c r="L57" s="1"/>
  <c r="D56"/>
  <c r="E56" s="1"/>
  <c r="I54"/>
  <c r="F48"/>
  <c r="G48"/>
  <c r="F47"/>
  <c r="G47"/>
  <c r="K47" s="1"/>
  <c r="I47" l="1"/>
  <c r="J55"/>
  <c r="J48"/>
  <c r="J47"/>
  <c r="K48"/>
  <c r="I48"/>
  <c r="I55"/>
  <c r="D57"/>
  <c r="E57" s="1"/>
  <c r="D58"/>
  <c r="E58" s="1"/>
  <c r="G56"/>
  <c r="K56" s="1"/>
  <c r="F56"/>
  <c r="J56" l="1"/>
  <c r="F57"/>
  <c r="G57"/>
  <c r="K57" s="1"/>
  <c r="G58"/>
  <c r="K58" s="1"/>
  <c r="F58"/>
  <c r="I56"/>
  <c r="J58" l="1"/>
  <c r="J57"/>
  <c r="I57"/>
  <c r="I58"/>
</calcChain>
</file>

<file path=xl/sharedStrings.xml><?xml version="1.0" encoding="utf-8"?>
<sst xmlns="http://schemas.openxmlformats.org/spreadsheetml/2006/main" count="2931" uniqueCount="1584">
  <si>
    <t>čidlo</t>
  </si>
  <si>
    <t>kW plyn</t>
  </si>
  <si>
    <t>kW ztráty</t>
  </si>
  <si>
    <t>m3</t>
  </si>
  <si>
    <t>m3/měs</t>
  </si>
  <si>
    <t>kW/30K</t>
  </si>
  <si>
    <t>°C pata</t>
  </si>
  <si>
    <t>realistanr</t>
  </si>
  <si>
    <t>kW voda</t>
  </si>
  <si>
    <t>jakino</t>
  </si>
  <si>
    <t>https://www.modrastrecha.sk/forum/kurenie-vetranie-a-klimatizacia/ako-usporne-kurit-s-kondenzacnym-kotlom/?page=4</t>
  </si>
  <si>
    <t>220 m.n.m.</t>
  </si>
  <si>
    <t>korekce</t>
  </si>
  <si>
    <t>stav m3</t>
  </si>
  <si>
    <t>venk. teplota</t>
  </si>
  <si>
    <t>50 + 75 + 75 + 50 = 250m2 vytápěné plochy</t>
  </si>
  <si>
    <t>TZ 4 kW celý byt 85 m2,  Přízemí, pod bytem sklepy.</t>
  </si>
  <si>
    <t>16 - 20 lidí odběr teplé vody</t>
  </si>
  <si>
    <t>Dle obsazenosti 1 až 6 lidí teplá voda. Od 0,2 po 0,9 kW</t>
  </si>
  <si>
    <t>2 - 3 lidi</t>
  </si>
  <si>
    <t>390 m.n.m</t>
  </si>
  <si>
    <t>9,7 x 11,5m</t>
  </si>
  <si>
    <t>Do 11.2.18 4,9 Kw, pak 4 kW</t>
  </si>
  <si>
    <t>https://forum.tzb-info.cz/113312-denostupne</t>
  </si>
  <si>
    <t>https://forum.tzb-info.cz/128773-o-kolik-byla-zima-2013-2014-teplejsi</t>
  </si>
  <si>
    <t>https://forum.tzb-info.cz/139365-vyber-kondenz-kotle-s-tuv-pro-male-tep-ztraty-okolo-2kw/vsechny-prispevky</t>
  </si>
  <si>
    <t>Máme JUNKERS CerapurCompact ZWB 24-1 DE,</t>
  </si>
  <si>
    <t>Výměnou kotle změna účinnosti z 0,75 na 0,95</t>
  </si>
  <si>
    <t>účinnost</t>
  </si>
  <si>
    <t>15/16</t>
  </si>
  <si>
    <t>16/17</t>
  </si>
  <si>
    <t>17/18</t>
  </si>
  <si>
    <t>úspora 680 Kč/rok, NEnávratnost 40 let</t>
  </si>
  <si>
    <t>kW topení</t>
  </si>
  <si>
    <t>kWh</t>
  </si>
  <si>
    <t>m3/rok</t>
  </si>
  <si>
    <t>Perfektní překrytí znamená vynikající shodu spotřeb s fyzikálními zákony. V tomto případě s odchylkou do 100W</t>
  </si>
  <si>
    <t>Pata 15°C znamená, že buď jde o budovu s vysokými dalšími zisky (větší trvalý příkon elektrospotřebičů, hodně oken)</t>
  </si>
  <si>
    <t>Současně znamená, že při poklesu venkovní teploty na průměrných 15°C se začíná topit.</t>
  </si>
  <si>
    <t>Spotřeba vody 0,18 kW je ohřev 1,5 normativu (normativ je 0,12 kW)</t>
  </si>
  <si>
    <r>
      <t xml:space="preserve">spotřeba v obrázku (není úplně přesné, ne vždy byl odečet 1. v měsíci) </t>
    </r>
    <r>
      <rPr>
        <b/>
        <sz val="11"/>
        <color theme="1"/>
        <rFont val="Calibri"/>
        <family val="2"/>
        <charset val="238"/>
        <scheme val="minor"/>
      </rPr>
      <t>od 9/17 je nový kotel</t>
    </r>
  </si>
  <si>
    <t>https://forum.tzb-info.cz/134566-plynovy-kondenzacni-kotel-jaka-znacka-prosim?idtext=94#text94</t>
  </si>
  <si>
    <t>https://forum.tzb-info.cz/126846-optimalni-nastaveni-kk/vsechny-prispevky#text35</t>
  </si>
  <si>
    <t>https://forum.tzb-info.cz/126846-optimalni-nastaveni-kk/strana-3#text40</t>
  </si>
  <si>
    <t>sezona</t>
  </si>
  <si>
    <t>Je nutné přičíst spotřebu elektřiny 2 kW v létě a až 3 kW v zimě a biologické teplo odhadem 1 kW</t>
  </si>
  <si>
    <t>Vysoké jsou především sluneční zisky nejen okny, ale především celou fasádou.</t>
  </si>
  <si>
    <t>Obvodová zeď je schopna se sluncem ohřát v celodenním průměru o 5 stupńů proti teplotě vzduchu</t>
  </si>
  <si>
    <t>zimy stejné, jako Praha , letiště Kbely</t>
  </si>
  <si>
    <t>léta o 3 stupňě teplejší</t>
  </si>
  <si>
    <t>m3 s kondenzákem</t>
  </si>
  <si>
    <t>Kč/rok úspora na platbách</t>
  </si>
  <si>
    <t>21 °C pata</t>
  </si>
  <si>
    <t>https://forum.tzb-info.cz/138856-kotel-pro-novostavbu-tz-5kw#text12</t>
  </si>
  <si>
    <t>https://forum.tzb-info.cz/143451-hystereze-horaku-wolf/vsechny-prispevky#text46</t>
  </si>
  <si>
    <t>venkovní teplota 280 m.n.m</t>
  </si>
  <si>
    <t>kW dT 30K</t>
  </si>
  <si>
    <t>Výpočtově jsem o 36 m výš a nebo absolutní chyba 0,23 stupně.</t>
  </si>
  <si>
    <t>Tu v 760 m.n.m mám na zahradě.</t>
  </si>
  <si>
    <t>https://forum.tzb-info.cz/141400-zhodnoceni-topne-sezony/vsechny-prispevky#text31</t>
  </si>
  <si>
    <t>https://forum.tzb-info.cz/143433-zmena-vytapeni#text10</t>
  </si>
  <si>
    <t>TZ až 2 kW s patou 11°C</t>
  </si>
  <si>
    <t>dT</t>
  </si>
  <si>
    <t>kW topení elektřinou celkem</t>
  </si>
  <si>
    <t>nilan</t>
  </si>
  <si>
    <t>TZ</t>
  </si>
  <si>
    <t>kW el+sol</t>
  </si>
  <si>
    <t>kW celk</t>
  </si>
  <si>
    <t>kW topení podlahou</t>
  </si>
  <si>
    <t>9m2 oken</t>
  </si>
  <si>
    <t>celkem elektroměr</t>
  </si>
  <si>
    <t>elektroměr VT kWh</t>
  </si>
  <si>
    <t>elektroměr NT kWh</t>
  </si>
  <si>
    <t>spotřeba topení kWh/měsíc do podlahovky</t>
  </si>
  <si>
    <t>dnů se sněh pokr</t>
  </si>
  <si>
    <t>kWh/m2</t>
  </si>
  <si>
    <t>prům tepl - data Novák</t>
  </si>
  <si>
    <t>korekce na nadm. výšku</t>
  </si>
  <si>
    <t>LKKB - letiště kbely</t>
  </si>
  <si>
    <t>kW TZ pro dT 30K</t>
  </si>
  <si>
    <t>ostatní spotř.</t>
  </si>
  <si>
    <t>glob zář</t>
  </si>
  <si>
    <t>jako 796 m.n.m. -3,3 st.</t>
  </si>
  <si>
    <t>Porovnání spotřeb a ztrát vidíme graficky a nastavováním polí F1 příkon na ohřev teplé vody, F2 ztráty pro dT 30K a F3 pata ekvitermu dosáhneme co nejlepší krytí křivek</t>
  </si>
  <si>
    <t>Skvěle dopadne i porovnání amatérských stanic v pocitově extrémních případech. Dokazuje pan Novák ve svém listu.</t>
  </si>
  <si>
    <t>https://forum.tzb-info.cz/143546-investice-do-vytapeni-snad-nekomu-pomuze</t>
  </si>
  <si>
    <t>https://forum.tzb-info.cz/143230-vaillant-vu-256-5-5-ecotec-plus-erelax-ekvitermni-regulator/vsechny-prispevky#text168</t>
  </si>
  <si>
    <t>Zvláštní kapitolou jsou jednotlivé byty, kde záleží především na sousedech.  Ukázkou je přízemní byt na Praze 2, Štěpánská, kde je zima od sklepů i od neobydleného souseda.</t>
  </si>
  <si>
    <t>pak se dokážou TZ vyšplhat i na 4 kW, když by dle obvodových zdí měly být 1,6 kW</t>
  </si>
  <si>
    <t>https://forum.tzb-info.cz/133779-vliv-salani-na-tepelnou-ztraru-domu/vsechny-prispevky</t>
  </si>
  <si>
    <t>Pak novostavby s TZ 3 kW, zde list Vícen (hořák kotle Wolf)</t>
  </si>
  <si>
    <t>TZ lze celkem přesně (s respektováním fyzikálních zákonů) vypočítat v souboru</t>
  </si>
  <si>
    <t>Existují domy s příkonem do 1 kW(mají TČ). Zde list pan Novák a pan Beránek v odkazu</t>
  </si>
  <si>
    <t>Kde z rozměrů a použitých stavebních materiálů vypočítáte TZ s vynikající shodou s realitou. Nepočítáte "na straně bezpečnosti", ale z reálných dat a průběhů teplot.</t>
  </si>
  <si>
    <t>Porovnáním výpočtu s dosaženými vlastnostmi pak snadno poznáte, zda je vše podle předpokladů a nebo je někde hrubá stavební chyba.  Typický příklad nedostatečné utěsnění zateplovací vrstvy</t>
  </si>
  <si>
    <t>násobek</t>
  </si>
  <si>
    <t>na vytápění kWh</t>
  </si>
  <si>
    <t>kWh vytápění</t>
  </si>
  <si>
    <t>S nízkou patou 15°C se výrazně snižuje spotřeba. TZ * 59,7 * 24 = roční spotřeba na vytápění.</t>
  </si>
  <si>
    <t>Vždy se jedná o dům s tepelným čerpadlem či topící klimatizací s COPem cca 3.   Ve skutečnosti jsou tedy TZ cca 3 kW.</t>
  </si>
  <si>
    <t>Často nastává situace, kdy majitel má zdroj vytápění s účinností kolem 60%. Pak mu vycházejí náklady odpovídající tepelným ztrátám.</t>
  </si>
  <si>
    <t xml:space="preserve">  Špatná účinnost a vysoké ostatní zisky se kompenzují. Ale majitel to netuší a zůstává bohužel v klidu...</t>
  </si>
  <si>
    <t>roky</t>
  </si>
  <si>
    <t>sezony</t>
  </si>
  <si>
    <t>TZ (kW)</t>
  </si>
  <si>
    <t>plyn (kW)</t>
  </si>
  <si>
    <t>venk tepl</t>
  </si>
  <si>
    <t>°C pata ekvitermu</t>
  </si>
  <si>
    <t>kW  TZ dT 30K</t>
  </si>
  <si>
    <t>Odpovídá průměrnému přetápění 3 stupně.</t>
  </si>
  <si>
    <t>V říjnu 2017 jsem zapojil Evohome</t>
  </si>
  <si>
    <t>Junkers ZSR 24-5 KE 23</t>
  </si>
  <si>
    <t>https://forum.tzb-info.cz/143726-kotel-junkers-a-honeywell</t>
  </si>
  <si>
    <t>konec</t>
  </si>
  <si>
    <t>tyden</t>
  </si>
  <si>
    <t>Radiátory</t>
  </si>
  <si>
    <t>1 patro topime na 20,5 pres den a v noci na 16</t>
  </si>
  <si>
    <t>90x90 22</t>
  </si>
  <si>
    <t>160x50 33</t>
  </si>
  <si>
    <t>80x60 11</t>
  </si>
  <si>
    <t>prřízemí topime 17,5 pres den a 15 v noci</t>
  </si>
  <si>
    <t>160x50 22</t>
  </si>
  <si>
    <t>120x50 22</t>
  </si>
  <si>
    <t>90x50 22</t>
  </si>
  <si>
    <t>zebrik 180 cm</t>
  </si>
  <si>
    <t>Plocha bytu cca 100 m</t>
  </si>
  <si>
    <t>Vetrame prumerne.</t>
  </si>
  <si>
    <t>Z grafů spotřeb vychátí TZ 4,8 kW. Po zapojení Evohome se spotřeby snížily na cca 3 kW</t>
  </si>
  <si>
    <t>Za předpokladu stejného komfortu úspora 3/4,8  cca 30%.</t>
  </si>
  <si>
    <t>kW</t>
  </si>
  <si>
    <t>za duben</t>
  </si>
  <si>
    <t>Dům v horách se spotřebou max. 1,1 kW</t>
  </si>
  <si>
    <t>http://petr.homolka1995.sweb.cz/1/spotreby.xlsx</t>
  </si>
  <si>
    <t>Potvrzeno statistickým porovnáním dat z letišť Karlovy Vary, Brno, Wien.    Wien je už o cca 0,3K teplejší dané nižším stupněm sev šířky</t>
  </si>
  <si>
    <t>krásná ukázka souhry denostupňů a spotřeby. Je vidět i dohánění výkonu po dvoudenní pauze.</t>
  </si>
  <si>
    <t>pata ekvitermu</t>
  </si>
  <si>
    <t>15 / 16</t>
  </si>
  <si>
    <t>16 / 17</t>
  </si>
  <si>
    <t>17 / 18</t>
  </si>
  <si>
    <t>Výpočet spotřeby z tepelných ztrát</t>
  </si>
  <si>
    <t>lidí na TUV</t>
  </si>
  <si>
    <t>kWh topení</t>
  </si>
  <si>
    <t>kWh TUV</t>
  </si>
  <si>
    <t>kWh celkem</t>
  </si>
  <si>
    <t>Kč přímotop</t>
  </si>
  <si>
    <t>Kč TČ</t>
  </si>
  <si>
    <t>SCOP</t>
  </si>
  <si>
    <t>Kč/kWh</t>
  </si>
  <si>
    <t>nákup TČ</t>
  </si>
  <si>
    <t>Kč</t>
  </si>
  <si>
    <t>plyn</t>
  </si>
  <si>
    <t>návratnost let proti elektrokotli</t>
  </si>
  <si>
    <t>návratnost proti plynu s kotlem zdarma</t>
  </si>
  <si>
    <t>vodné</t>
  </si>
  <si>
    <t>vodné/en</t>
  </si>
  <si>
    <t>vodné je 2x dražší proti nákladům na vytápění a ohřev TUV s TČ</t>
  </si>
  <si>
    <t>vodné je stejně drahé, jako náklady na vytápění a ohřev TUV s TČ</t>
  </si>
  <si>
    <t>roky návratnost TČ za 60 tis Kč</t>
  </si>
  <si>
    <t>osoby</t>
  </si>
  <si>
    <t>běžný dům TZ 3 kW</t>
  </si>
  <si>
    <t>Kč konečné platby</t>
  </si>
  <si>
    <t>tj 0,6osoby</t>
  </si>
  <si>
    <t>Kč odběry</t>
  </si>
  <si>
    <t>Kč pevné-jistič 3x20</t>
  </si>
  <si>
    <t>tj 1,6 osoby</t>
  </si>
  <si>
    <t>kWh do sítě</t>
  </si>
  <si>
    <t>kWh VT</t>
  </si>
  <si>
    <t>m3/měsíc</t>
  </si>
  <si>
    <t>kWh NT</t>
  </si>
  <si>
    <t>voda</t>
  </si>
  <si>
    <t>výroba</t>
  </si>
  <si>
    <t>spotřeba</t>
  </si>
  <si>
    <t>kWh ostatní spotřeba</t>
  </si>
  <si>
    <t>COP 2</t>
  </si>
  <si>
    <t>kW s větráním 0,3</t>
  </si>
  <si>
    <t>kW s větráním 0,15</t>
  </si>
  <si>
    <t>rozměry</t>
  </si>
  <si>
    <t>kW TZ</t>
  </si>
  <si>
    <t>°C venku</t>
  </si>
  <si>
    <t>https://www.pasivnidomy.cz/domy/pasivni-dum-verovice-303#technicke-parametry</t>
  </si>
  <si>
    <t>konečné platby Kč</t>
  </si>
  <si>
    <t>náklady s TČ</t>
  </si>
  <si>
    <t>s TČ , SCOP 3</t>
  </si>
  <si>
    <t>kč/kWh</t>
  </si>
  <si>
    <t>kW ostatní spotřeba. Běžně bývá 100 - 200 W/domácnost</t>
  </si>
  <si>
    <t>Vicen</t>
  </si>
  <si>
    <t>Kbely</t>
  </si>
  <si>
    <t>venk.tepl</t>
  </si>
  <si>
    <t>svit</t>
  </si>
  <si>
    <t>ROZDÍL</t>
  </si>
  <si>
    <t>21 °C pata + svit</t>
  </si>
  <si>
    <t>kW svit</t>
  </si>
  <si>
    <t>Není rozpočítáno topení podlah na obě podlaží, proto 2x vyšší teploty podlahy. Pouze info o TZ</t>
  </si>
  <si>
    <t>Plně vyřeší nepatrné podtlakové větrání hodnoty cca 0,1  tedy v místnosti cca 75 m3  odtah 7,5 m3/hod    Výkon digestoře je kolem 150 m3/hod. Stačí 20x menší trvalý odtah – ventilátor o příkonu 2W.</t>
  </si>
  <si>
    <t>Ještě připomenu zásady správného větrání. Ač se často tvrdí, že stará okna netěsní a proto přehnaně větrají, není to pravda. Poznáte to podle vlhkostní bilance – po ránu se rosí okna tam, kde spíte. Zdi už nedokáží vlhkostní přebytek přijmout.</t>
  </si>
  <si>
    <t xml:space="preserve">Další variantou je už jen zateplení.   </t>
  </si>
  <si>
    <t>V souboru http://petr.homolka1995.sweb.cz/1/spotreby.xlsx  list Evohome.</t>
  </si>
  <si>
    <t>Tím jednoduché kroky ke snížení spotřeby končí, prokazatelně dokáží ušetřit i 30%.</t>
  </si>
  <si>
    <t xml:space="preserve">Výbornou variantou je i jakýkoliv příložný termostat zpožděně reagující ideálně na teplotu vody vstupující do kotlového tělesa. Jakmile začne propouštět bypass, kotel vypíná včetně čerpadla a za 30 minut znovu dotopí správné množství energie. Výhodou je minimální spotřeba čerpadla. Neběží zbytečně.   </t>
  </si>
  <si>
    <t>Vypínání kotle na podvýkon řešíme co nejdelší anticyklační podmínkou. Ideálně 20 minut.</t>
  </si>
  <si>
    <t>a dát všude termohlavice. Dosáhneme tak vynikajícího komfortu díky vysoké autoritě termohlavic a současně plně respektujeme jakékoliv zisky a snižujeme tak spotřebu plynu.</t>
  </si>
  <si>
    <t>http://kondenzace.kvalitne.cz/vypocet-topne-soustavy-radiatoru/</t>
  </si>
  <si>
    <t>Důležité je správně nastavit otopnou soustavu podle návodu</t>
  </si>
  <si>
    <t>Na radu instalatéra je snížen topný výkon kotle na 15 kW. Jak vyplývá ze spotřeb, je možné topný výkon snížit až někam k 10 kW. Zvýší se tak mírně účinnost celého systému. Vysokým výkonům je třeba se vyhnout. Potvrzuji to nejen já a ASHRAE, ale třeba i http://www.ebs.nyc/blog/2016/6/19/understanding-true-operating-efficiency-of-condensing-boilers</t>
  </si>
  <si>
    <t>Ztráty vypočítané ze spotřeby plynu 13,5 kW. Vše uvažováno pro dT 30K.</t>
  </si>
  <si>
    <t>Po dohodě s tazatelem uvádím zjištěná data. Dvojpodlažní dům 12 x 10m plná cihla 45 cm. Ztráty dle metodiky PENB 30 kW. Ztráty dle fyzikálních zákonů 19 kW (zásadní rozdíl v zemině, která má mnohonásobně větší odpor)</t>
  </si>
  <si>
    <t>https://forum.tzb-info.cz/144484-jaky-termostat</t>
  </si>
  <si>
    <t>Unor</t>
  </si>
  <si>
    <t>Leden</t>
  </si>
  <si>
    <t>Prosinec</t>
  </si>
  <si>
    <t>Listopad</t>
  </si>
  <si>
    <t>Rijen</t>
  </si>
  <si>
    <t>Zari</t>
  </si>
  <si>
    <t>Srpen</t>
  </si>
  <si>
    <t>Cervenec</t>
  </si>
  <si>
    <t>Cerven</t>
  </si>
  <si>
    <t>Kveten</t>
  </si>
  <si>
    <t>Duben</t>
  </si>
  <si>
    <t>Brezen</t>
  </si>
  <si>
    <t>Z materiálových konstant vychází ztráty domu 19 kW.</t>
  </si>
  <si>
    <t>kW rozdíl</t>
  </si>
  <si>
    <t>Zajímavé jsou nižší spotřeby únor 2018 a hlavně únor 19, kdy je spotřeba o 1,7 kW a v únoru 19 dokonce o 1,8 kW nižší.</t>
  </si>
  <si>
    <t>Ztráty odpovídají domu s TZ 13,5 kW s odchylkou do 1 kW.</t>
  </si>
  <si>
    <t>°C pata ekvit</t>
  </si>
  <si>
    <t>Letní spotřeba tepla na ohřev teplé vody 400W odpovídá 2,5 osobám dle normativu (2,5 x 120W) + pohotovostní ztráty 100W</t>
  </si>
  <si>
    <t>kW/dt30K</t>
  </si>
  <si>
    <t>Takto tam bydlí 1,6 a později dokonce jen 0,6 osony.</t>
  </si>
  <si>
    <t>Pokud by pořídili obyčejné TČ typu Nordline za 60000 Kč, byla by platba za energie pouze 75%, dostatek vody a bezproblémové větrání.</t>
  </si>
  <si>
    <t>V poli E3 je účinnost 0,75 pro původní kotel. Poslední rok odpovídá 0,85 až 0,95</t>
  </si>
  <si>
    <t>Roční spotřeba/TZ/24</t>
  </si>
  <si>
    <t>dnů</t>
  </si>
  <si>
    <t>Roční spotřeba /TZ / 24</t>
  </si>
  <si>
    <t>výpočtových dnů:</t>
  </si>
  <si>
    <t>půl kW!! na dva lidi</t>
  </si>
  <si>
    <t>návratnost</t>
  </si>
  <si>
    <t>kWh roční rozdíl</t>
  </si>
  <si>
    <t>Ing. Josef Vávra    tel./WhatsApp  608 507 514</t>
  </si>
  <si>
    <t>https://forum.tzb-info.cz/144783-jak-se-dostat-na-tz-u-novostavby-3-5-4-kw#text26</t>
  </si>
  <si>
    <t>poměr</t>
  </si>
  <si>
    <t>Plyn</t>
  </si>
  <si>
    <t>https://forum.tzb-info.cz/143088-jak-na-nastaveni-vykonu-cerpadla-u-kk?idtext=77#text77</t>
  </si>
  <si>
    <t>kWh teplá voda</t>
  </si>
  <si>
    <t>kWh jen topení</t>
  </si>
  <si>
    <t>kWh 18/19</t>
  </si>
  <si>
    <t>kWh roční spotřeba</t>
  </si>
  <si>
    <t>kWh 17/18</t>
  </si>
  <si>
    <t>kWh 16/17</t>
  </si>
  <si>
    <t>kWh 15/16</t>
  </si>
  <si>
    <t>TZ domu pro teplotu -13,4°C vychází 17 kW</t>
  </si>
  <si>
    <t>zpětný výpočet z denostupňů DS 16,6</t>
  </si>
  <si>
    <t>Uhřev teplé vody typicky 300 W. Tedy 60W ztráty + 2 x 120W odběr (dvě osoby)</t>
  </si>
  <si>
    <t>odch (kW</t>
  </si>
  <si>
    <t>Hodnota</t>
  </si>
  <si>
    <t>Kategorie</t>
  </si>
  <si>
    <t>Datum</t>
  </si>
  <si>
    <t>odečty plynoměru u nás někdy na počátku srpna, proto počítám srpen - konec července. V létě je kubíků minimum, jen ohřev TUV a vaření, něco kolem 22 m3 za měsíc</t>
  </si>
  <si>
    <t>účinnost:</t>
  </si>
  <si>
    <t>kW /dT 30K</t>
  </si>
  <si>
    <t>ohřev vody (kW)</t>
  </si>
  <si>
    <t>přepisujte žlutá pole</t>
  </si>
  <si>
    <t>Obdobně list Oswald vykazuje podstatně nižší ztráty, než odpovídají výpočtu. Ze spotřeb lze odvodit TZ 17 kW s patou ekvitermu 16,6°C</t>
  </si>
  <si>
    <t>otopná voda ekvit</t>
  </si>
  <si>
    <t>kg/m3</t>
  </si>
  <si>
    <t>kWh/kg</t>
  </si>
  <si>
    <t>kWh/m3</t>
  </si>
  <si>
    <t>m3 dřeva</t>
  </si>
  <si>
    <t>MJ/kg</t>
  </si>
  <si>
    <t>( 25q-30q hnědého uhlí ořech 1 a cca 15m dřeva)</t>
  </si>
  <si>
    <t>rozdíl</t>
  </si>
  <si>
    <t>stav</t>
  </si>
  <si>
    <t>ztráty (kW)</t>
  </si>
  <si>
    <t>výkon plynu (kW)</t>
  </si>
  <si>
    <t>venku °C</t>
  </si>
  <si>
    <t>pata ekvit</t>
  </si>
  <si>
    <t>Období do 26.1 vycházejí TZ 11 kW.    Další pokračuje s TZ 9,5 kW. Pata ekvitermu vždy 19°C.</t>
  </si>
  <si>
    <t>kW dt 30K</t>
  </si>
  <si>
    <t>https://forum.tzb-info.cz/143230-vaillant-vu-256-5-5-ecotec-plus-erelax-ekvitermni-regulator/vsechny-prispevky#text230</t>
  </si>
  <si>
    <t>kWh plyn</t>
  </si>
  <si>
    <t>kWh TZ</t>
  </si>
  <si>
    <t>I když topí na 22°C Vytápění odpovídá ekvitermu s patou 17°C</t>
  </si>
  <si>
    <t>m3 od září do konce května</t>
  </si>
  <si>
    <t>Zda 2200 m3 od začátku či od konce září nezodpovězeno. Pak vychází na sumu březen-duben-květen 737 nebo 620m3.</t>
  </si>
  <si>
    <t>výroba FVE kW</t>
  </si>
  <si>
    <t>Ve skutečnosti jsou potřebné výkony odpovídající TZ 15 kW s patou 16°C</t>
  </si>
  <si>
    <t>sez 15/16</t>
  </si>
  <si>
    <t>sez 16/17</t>
  </si>
  <si>
    <t>sez 17/18</t>
  </si>
  <si>
    <t>sez 18/19</t>
  </si>
  <si>
    <t>pata °C</t>
  </si>
  <si>
    <t>Jednotlivé sezony a počet denostupňů vzhledem k referenční teplotě v nadmořské výšce 280 m.n.m. Pokles teploty s výškou 0,65K na 100m</t>
  </si>
  <si>
    <t>převzato ze souboru</t>
  </si>
  <si>
    <t xml:space="preserve">http://kondenzace.kvalitne.cz/kks/optimalizace-tc.xlsm </t>
  </si>
  <si>
    <t>Snížení vytápění o stupeň nebo zvýšení nadmořské výšky o 153 mznamená nárůst roční spotřeby o 9 až 10%</t>
  </si>
  <si>
    <t>Měsíční průměry teplot. 1.4.15 znamená za měsíc dopředu, tedy za celý duben 2015.</t>
  </si>
  <si>
    <t>kWh celkem elektroměr za 2 roky</t>
  </si>
  <si>
    <t>kWh/rok</t>
  </si>
  <si>
    <t>sezóna 2018/19</t>
  </si>
  <si>
    <t>rozdíl (kW)</t>
  </si>
  <si>
    <t>COP</t>
  </si>
  <si>
    <t>kW elektř</t>
  </si>
  <si>
    <t>kW kalor</t>
  </si>
  <si>
    <t xml:space="preserve">Kč celkem </t>
  </si>
  <si>
    <t xml:space="preserve">kW dům celkem </t>
  </si>
  <si>
    <t xml:space="preserve">COP celkem </t>
  </si>
  <si>
    <t xml:space="preserve">COP období </t>
  </si>
  <si>
    <t xml:space="preserve">kW dům období </t>
  </si>
  <si>
    <t xml:space="preserve">GJ období </t>
  </si>
  <si>
    <t xml:space="preserve">GJ </t>
  </si>
  <si>
    <t xml:space="preserve">kW celkem </t>
  </si>
  <si>
    <t xml:space="preserve">Kč období </t>
  </si>
  <si>
    <t xml:space="preserve">kW období </t>
  </si>
  <si>
    <t xml:space="preserve"> kWh </t>
  </si>
  <si>
    <t>°C</t>
  </si>
  <si>
    <t>za kus</t>
  </si>
  <si>
    <t>celkem</t>
  </si>
  <si>
    <t>stav(B)</t>
  </si>
  <si>
    <t>W/K</t>
  </si>
  <si>
    <t>425 m n.m. v mrazovém údolí - odpovídá korekci -0,95K. Skutečná pata ekvitermu je tedy místních 18,05°C</t>
  </si>
  <si>
    <t>http://kondenzace.kvalitne.cz/kks/tc-9kw-lg-therma.xlsx</t>
  </si>
  <si>
    <t>https://forum.tzb-info.cz/133895-nejlepsi-tepelne-cerpadlo/vsechny-prispevky#text263</t>
  </si>
  <si>
    <t>488 m.n.m</t>
  </si>
  <si>
    <t>odchylka</t>
  </si>
  <si>
    <t>Venkovní teplota tazatele odpovídá 488 m.n.m.</t>
  </si>
  <si>
    <t xml:space="preserve"> TZ 6,3 kW po zateplení, pata 13,8°C</t>
  </si>
  <si>
    <t>Teplota letiště Praha-Kbely</t>
  </si>
  <si>
    <t>TZ 9,8 kW před zateplením, pata  13,8°C je třeba doložit nižší spotřebu v některých měsících o cca 500W</t>
  </si>
  <si>
    <t>kW pro dT 30K</t>
  </si>
  <si>
    <t>TUV (kW)</t>
  </si>
  <si>
    <t>stav poč</t>
  </si>
  <si>
    <t>stav konc</t>
  </si>
  <si>
    <t>https://forum.tzb-info.cz/106509-sledovani-spotreby-zp-aneb-spotreba-f-prumerna-venkovni-teplota?idtext=9#text8</t>
  </si>
  <si>
    <t>U (W/K)</t>
  </si>
  <si>
    <t>kWh za 2018/2019</t>
  </si>
  <si>
    <t>Číslo znamená počet výpočtových dní za sezonu. Běžně se počítá cca 90 dnů, tedy cca DS16 a znamená to, že roční spotřeba na vytápění je 90 x 24 x TZ domu. TZ domu pro dT 30K!!!</t>
  </si>
  <si>
    <t>teoret</t>
  </si>
  <si>
    <t>sez 19/20</t>
  </si>
  <si>
    <t>kWh za 2019/2020</t>
  </si>
  <si>
    <t>teoret:</t>
  </si>
  <si>
    <t>DS 14°C</t>
  </si>
  <si>
    <t>Dvojpodl. dům 11 x 31 m, cikla 45 cm zateplená 16 cm polyst. TZ 13 kW/30K . U=420 W/K s větráním 0,3</t>
  </si>
  <si>
    <t>Data z vytápění poloviny, proto TZ 6,3 kW U=210W/K</t>
  </si>
  <si>
    <t>kWh/rok celkem</t>
  </si>
  <si>
    <t>kWh/rok topení</t>
  </si>
  <si>
    <t>vliv váhy 5denního průměru:</t>
  </si>
  <si>
    <t>okrajové podmínky v PENB:</t>
  </si>
  <si>
    <t>x</t>
  </si>
  <si>
    <t>W/K je U</t>
  </si>
  <si>
    <t>W příkon el spotřebiče</t>
  </si>
  <si>
    <t>procent kDS14</t>
  </si>
  <si>
    <t>plyn kWh</t>
  </si>
  <si>
    <t>m3/den</t>
  </si>
  <si>
    <t>plyn á 1 Kč</t>
  </si>
  <si>
    <t>elektř á 2,20</t>
  </si>
  <si>
    <t>Kč roční rozdíl</t>
  </si>
  <si>
    <t>teplota v 390 m.n.m.</t>
  </si>
  <si>
    <t>teplota Kbely</t>
  </si>
  <si>
    <t>kde dům o očekávaných TZ 18 kW/30K se chová jako dům o TZ 11 kW/30K</t>
  </si>
  <si>
    <t>Je to srovnání spotřeb. TZ je třeba násobit COPem tepelného čerpadla/klimatizace.</t>
  </si>
  <si>
    <t>podlaha Vlevo vodivost k podloží x průměrný teplotní rozdíl daného dne k 8°C v F27, vpravo jako průměrný tepelný tok ze spodní vrstvy podlahy do polystyrenu daného dne.</t>
  </si>
  <si>
    <t>strop Vlevo průměrný rozdíl teplot vzduch - venku x vlastnosti stropu v C7, D7 Vpravo totéž z předchozího dne - opravit!!</t>
  </si>
  <si>
    <t>okna Vlevo jako materiálové vlastnosti C8, D8 x teplotní rozdíl průměr vnitřní omítka-venku vpravo nesmysl!!</t>
  </si>
  <si>
    <t>obv. zdi vlevo jako vodivost zdi x vnitřní průměrná teplota omítky - průměrná vnější teplota Vpravo jako energie procházející zateplením</t>
  </si>
  <si>
    <t>větrání Vlevo z průměrných rozdílů teplot, vpravo položka AE20</t>
  </si>
  <si>
    <t>sokl/akumulace</t>
  </si>
  <si>
    <t>dům 9 x 10 m, 5m výška , 20 cm podl, 20 cm fas a 30 cm strop dT 30K</t>
  </si>
  <si>
    <t>W s větráním 0,3</t>
  </si>
  <si>
    <t>W bez větrání</t>
  </si>
  <si>
    <t>V tomto souboru je porovnání energetických spotřeb řady domů s jejich mechanickou konstrukcí a vlivem počasí - porovnání denostupňovou metodou.</t>
  </si>
  <si>
    <t>Adresáře:</t>
  </si>
  <si>
    <t>kontakt:</t>
  </si>
  <si>
    <t>a ochlazování vnitřního zdiva venkovním vzduchem díky komínovému efektu.</t>
  </si>
  <si>
    <t>spotřeba kWh Nilan</t>
  </si>
  <si>
    <t>spotreba topeni</t>
  </si>
  <si>
    <t>spotreba celkem</t>
  </si>
  <si>
    <t>užitá výroba FVE</t>
  </si>
  <si>
    <t>celková výroba FVE</t>
  </si>
  <si>
    <t>výroba FVE 3 kWp</t>
  </si>
  <si>
    <t>voda(0,5)</t>
  </si>
  <si>
    <t>vypnuté topení</t>
  </si>
  <si>
    <t>pouze topení</t>
  </si>
  <si>
    <r>
      <t>topení+</t>
    </r>
    <r>
      <rPr>
        <sz val="11"/>
        <color rgb="FF00B050"/>
        <rFont val="Calibri"/>
        <family val="2"/>
        <charset val="238"/>
        <scheme val="minor"/>
      </rPr>
      <t>voda(0,5)</t>
    </r>
  </si>
  <si>
    <t>na 22</t>
  </si>
  <si>
    <t>od 17.3 topí i 12-16</t>
  </si>
  <si>
    <t>změna teplot</t>
  </si>
  <si>
    <t>změna teplot zpět</t>
  </si>
  <si>
    <t>23.1 - 31.1 topilo v noci</t>
  </si>
  <si>
    <r>
      <t>topení+</t>
    </r>
    <r>
      <rPr>
        <sz val="11"/>
        <color rgb="FF00B050"/>
        <rFont val="Calibri"/>
        <family val="2"/>
        <charset val="238"/>
        <scheme val="minor"/>
      </rPr>
      <t>voda(0,4) /ohřev vody plynem pro další byt/</t>
    </r>
  </si>
  <si>
    <t>topení+voda(0,25)</t>
  </si>
  <si>
    <t>pouze topení:</t>
  </si>
  <si>
    <t>topení + voda(0,25)</t>
  </si>
  <si>
    <t>Ostatní zisky tedy vycházejí cca 1800W.</t>
  </si>
  <si>
    <t>Korelace s denostupňovou metodou ukazuje patní bod 15,5°C</t>
  </si>
  <si>
    <t>Protože se topí jen v 56% obytné plochy, chová se dům jako by měl TZ 10 kW.</t>
  </si>
  <si>
    <t>Tz pro dT 30 K vycházejí i s větráním 0,3 cca 13,2 kW.</t>
  </si>
  <si>
    <t>Dům vnějších rozměrů 12,8 x 8,2m , výška 6,6 m plná cihla 60 cm.</t>
  </si>
  <si>
    <t>https://forum.tzb-info.cz/148320-obehove-cerpadlo-nemoduluje-therm-24kdzn</t>
  </si>
  <si>
    <t>vytápěná část</t>
  </si>
  <si>
    <t>ekviv rozměr:</t>
  </si>
  <si>
    <t>3.podl</t>
  </si>
  <si>
    <t>výška m</t>
  </si>
  <si>
    <t>2. podl</t>
  </si>
  <si>
    <t>šířka m</t>
  </si>
  <si>
    <t>1. podl</t>
  </si>
  <si>
    <t>délka m</t>
  </si>
  <si>
    <t>m2 celk</t>
  </si>
  <si>
    <t>m2 nevyt</t>
  </si>
  <si>
    <t>m2 vytáp</t>
  </si>
  <si>
    <t>m2</t>
  </si>
  <si>
    <t>W navíc</t>
  </si>
  <si>
    <t>dní výpočt ztrát bez teplé vody</t>
  </si>
  <si>
    <t>plyn prům</t>
  </si>
  <si>
    <t>tz prům</t>
  </si>
  <si>
    <t>plyn {kW]</t>
  </si>
  <si>
    <t>K</t>
  </si>
  <si>
    <t>dní výpočt ztrát</t>
  </si>
  <si>
    <t>roční spotřeba</t>
  </si>
  <si>
    <t>LKKB - letiště Kbely</t>
  </si>
  <si>
    <t>Dům má TZ 10 kW při venkovní -14,5°C a patu ekvitermu 15,5°C</t>
  </si>
  <si>
    <t>280 m.n.m.</t>
  </si>
  <si>
    <t>letní voda příkon 220-230 W. Tedy cca 60W ztráty a 160 W odpovídá 1,3 normočlověka</t>
  </si>
  <si>
    <t>K korekce nadm výšky 300 m.n.m.</t>
  </si>
  <si>
    <t>http://kondenzace.kvalitne.cz/kks/spotreby.xlsx</t>
  </si>
  <si>
    <t>Spotřeba teplé vody je zanedbatelných 230W. Tedy 1,3  osoby dle normativu.</t>
  </si>
  <si>
    <t>Date;HDD;% Estimated</t>
  </si>
  <si>
    <t>Kbely 2015-18 (°C)</t>
  </si>
  <si>
    <t>kW TZ / dt30K</t>
  </si>
  <si>
    <t>paneláků</t>
  </si>
  <si>
    <t>bytů každý</t>
  </si>
  <si>
    <t>m3 za rok 2019</t>
  </si>
  <si>
    <t>bytů</t>
  </si>
  <si>
    <t>m3 za rok 2018</t>
  </si>
  <si>
    <t>°C venk</t>
  </si>
  <si>
    <t>°C vnitř</t>
  </si>
  <si>
    <t>výpočet:</t>
  </si>
  <si>
    <t>kW na panelák</t>
  </si>
  <si>
    <t>LKKB</t>
  </si>
  <si>
    <t>m3 za rok 2017</t>
  </si>
  <si>
    <t>poměr realita/výpočet</t>
  </si>
  <si>
    <t>kW TZ/dT 30K  na byt</t>
  </si>
  <si>
    <t>plyn 1 Kč/kWh</t>
  </si>
  <si>
    <t>m3 plynoměr</t>
  </si>
  <si>
    <t>ročně Kč/byt</t>
  </si>
  <si>
    <t>Rok 2019/20 odpovídá 1,3 kW ohřev vody a 20 kW s patou 13°C. Ale možná také 15 kW s patou 16°C.</t>
  </si>
  <si>
    <t>m3 vnější objem</t>
  </si>
  <si>
    <t>Celkem</t>
  </si>
  <si>
    <t>větrání:</t>
  </si>
  <si>
    <t>kW / dt 30K</t>
  </si>
  <si>
    <t>m2 na patro</t>
  </si>
  <si>
    <t>W/K celkem</t>
  </si>
  <si>
    <t>W/K je větrání 0,3</t>
  </si>
  <si>
    <t>kW/dt 30K</t>
  </si>
  <si>
    <t>W/K je obálka</t>
  </si>
  <si>
    <t>U kW/K</t>
  </si>
  <si>
    <t>GJ/rok</t>
  </si>
  <si>
    <t>Měrný tepelný tok větráním Hv:         384,685 W/K</t>
  </si>
  <si>
    <t>DS</t>
  </si>
  <si>
    <t>Typ větrání zóny:                                 přirozené Minimální násobnost výměny:           0,3 1/h Návrhová násobnost výměny:           0,3 1/h</t>
  </si>
  <si>
    <t>PENB:</t>
  </si>
  <si>
    <t>DS 17</t>
  </si>
  <si>
    <t>v Kč</t>
  </si>
  <si>
    <t>kW (TZ dt 30K)</t>
  </si>
  <si>
    <t>pata 17°C TZ 31 kW/dt 30K</t>
  </si>
  <si>
    <t>vytápění</t>
  </si>
  <si>
    <t>rok</t>
  </si>
  <si>
    <t>Objem vzduchu v zóně:                     3885,71 m3 Podíl vzduchu z objemu zóny:           79,2 %</t>
  </si>
  <si>
    <t>PENB bez sl zis</t>
  </si>
  <si>
    <t>ekv</t>
  </si>
  <si>
    <t>GJ/mesic se sl. zis.</t>
  </si>
  <si>
    <t>venk °C</t>
  </si>
  <si>
    <t>rozměry (m)</t>
  </si>
  <si>
    <t>cena za kWh</t>
  </si>
  <si>
    <t>účt.náklad</t>
  </si>
  <si>
    <t>cena za GJ</t>
  </si>
  <si>
    <t>účt.spotř.</t>
  </si>
  <si>
    <t>spotřeba GJ</t>
  </si>
  <si>
    <t>tz 31 kW</t>
  </si>
  <si>
    <t>a „skutečných úsporách“ GJ po zateplení domu v roce 2014 !!!</t>
  </si>
  <si>
    <t>kW dT 30 K</t>
  </si>
  <si>
    <t>7 podlažní dům 11 x 22 m zateplený 8 cm polyst. Nadm. v. 280 m.n.m.</t>
  </si>
  <si>
    <t>Se započtením slunečních zisků se začíná topit při venk. teplotě 11°C</t>
  </si>
  <si>
    <t>původní odhad z leden-únor</t>
  </si>
  <si>
    <t>m3 za 2019 skutečně</t>
  </si>
  <si>
    <t>m3 za 2019 výpočet</t>
  </si>
  <si>
    <t>h</t>
  </si>
  <si>
    <t>st,</t>
  </si>
  <si>
    <t>m3,</t>
  </si>
  <si>
    <t>-</t>
  </si>
  <si>
    <t>-0.9</t>
  </si>
  <si>
    <t>vliv slunce</t>
  </si>
  <si>
    <t>ekvit kW</t>
  </si>
  <si>
    <t>plyn kW</t>
  </si>
  <si>
    <t>místní</t>
  </si>
  <si>
    <t>z rozdílu teplot místní / Kbely</t>
  </si>
  <si>
    <t>kW / dT 30K</t>
  </si>
  <si>
    <t>voda kW</t>
  </si>
  <si>
    <t>https://forum.tzb-info.cz/148458-projekt-manualni-ekviternm/vsechny-prispevky#text35</t>
  </si>
  <si>
    <t>27 kW s patou 14°C je třeba od září 2019 do prosince 2019</t>
  </si>
  <si>
    <t>21 kW s patou 12,5°C je potřebný ekviterm od prosince 2019 do května 2020</t>
  </si>
  <si>
    <t>rozdíl teplot</t>
  </si>
  <si>
    <t>740m.n.m.</t>
  </si>
  <si>
    <t>m.n.m. odpovídá výpočtu</t>
  </si>
  <si>
    <t>520 m.n.m. je realita</t>
  </si>
  <si>
    <t>K průměrná odchylka</t>
  </si>
  <si>
    <t>m výš, než Kbely - 280 m.n.m.</t>
  </si>
  <si>
    <t>K průměrná odchylka z ekviterm</t>
  </si>
  <si>
    <t>suma GJ</t>
  </si>
  <si>
    <t>výpočt °C</t>
  </si>
  <si>
    <t>prům</t>
  </si>
  <si>
    <t>procent</t>
  </si>
  <si>
    <t>dle PENB prostup+větrání</t>
  </si>
  <si>
    <t>dle PENB prostup, větrání, elektrospotřebiče+sl zisky</t>
  </si>
  <si>
    <t>kW/dt 30K pata 17°C</t>
  </si>
  <si>
    <t>rozdíl výkonů</t>
  </si>
  <si>
    <t>Velice zajímavá je spotřeba domu RR 21 kW, kde posun paty ekvitermní křivky na cca 13°C prokazatelně způsobují sluneční zisky.</t>
  </si>
  <si>
    <t>°C vnitřní</t>
  </si>
  <si>
    <t>kW je reálný sluneční zisk + spotřeba elektřiny.</t>
  </si>
  <si>
    <t>VÝPOČET ENERGETICKÉ NÁROČNOSTI BUDOV</t>
  </si>
  <si>
    <t>A PRŮMĚRNÉHO SOUČINITELE PROSTUPU TEPLA</t>
  </si>
  <si>
    <t>podle vyhlášky č. 78/2013 Sb. a ČSN 730540-2</t>
  </si>
  <si>
    <t>a podle EN ISO 13790, EN ISO 13789 a EN ISO 13370</t>
  </si>
  <si>
    <t>Energie 2013</t>
  </si>
  <si>
    <t xml:space="preserve">     ZADANÉ OKRAJOVÉ PODMÍNKY:                                                                                    </t>
  </si>
  <si>
    <t>Počet zón v budově:                            2</t>
  </si>
  <si>
    <t>Celkový počet osob v budově:             neurčen</t>
  </si>
  <si>
    <t>Typ výpočtu potřeby energie:               měsíční (pro jednotlivé měsíce v roce)</t>
  </si>
  <si>
    <t>Okrajové podmínky výpočtu:</t>
  </si>
  <si>
    <t>Název                  Počet     Teplota             Celková energie globálního slunečního záření [MJ/m2]</t>
  </si>
  <si>
    <t>období</t>
  </si>
  <si>
    <t>Sever</t>
  </si>
  <si>
    <t>Jih</t>
  </si>
  <si>
    <t>Východ</t>
  </si>
  <si>
    <t>Západ</t>
  </si>
  <si>
    <t>Horizont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</si>
  <si>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</si>
  <si>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</si>
  <si>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</si>
  <si>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</si>
  <si>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</si>
  <si>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</si>
  <si>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</si>
  <si>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</si>
  <si>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</si>
  <si>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</si>
  <si>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</si>
  <si>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</si>
  <si>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SV</t>
  </si>
  <si>
    <t>SZ</t>
  </si>
  <si>
    <t>JV</t>
  </si>
  <si>
    <t>96,5"</t>
  </si>
  <si>
    <t>JZ</t>
  </si>
  <si>
    <t xml:space="preserve">     PARAMETRY JEDNOTLIVÝCH ZÓN V BUDOVĚ :                                                           </t>
  </si>
  <si>
    <t>PARAMETRY ZÓNY Č. 1 :</t>
  </si>
  <si>
    <t>Základní popis zóny</t>
  </si>
  <si>
    <t>Název zóny:                                       Byty</t>
  </si>
  <si>
    <t>Typ zóny pro určení Uem,N:              jiná než nová obytná budova Typ zóny pro refer. budovu:               bytový dům</t>
  </si>
  <si>
    <t>Typ hodnocení:                                   změna stávající budovy</t>
  </si>
  <si>
    <t>Geometrie (objem/podlah.pl.):           4906,2 m3 / 1495,4 m2 Celk. energet. vztažná plocha:          1701,3 m2</t>
  </si>
  <si>
    <t>Účinná vnitřní tepelná kapacita:        165,0 kJ/(m2.K)</t>
  </si>
  <si>
    <t>Vnitřní teplota (zima/léto):                  20,0 C / 20,0 C Zóna je vytápěna/chlazena:               ano / ne</t>
  </si>
  <si>
    <t>Typ vytápění:                                      nepřerušované</t>
  </si>
  <si>
    <t>Regulace otopné soustavy:               ano</t>
  </si>
  <si>
    <t>Průměrné vnitřní zisky:                      4379 W</t>
  </si>
  <si>
    <t>....... odvozeny pro                              · produkci tepla: 1,5+3,0 W/m2 (osoby+spotřebiče)</t>
  </si>
  <si>
    <t>· časový podíl produkce: 70+20 % (osoby+spotřebiče)</t>
  </si>
  <si>
    <t>· zohlednění spotřebičů: jen zisky</t>
  </si>
  <si>
    <t>· minimální přípustnou osvětlenost: 100,0 lx</t>
  </si>
  <si>
    <t>· měrný příkon osvětlení: 0,05 W/(m2.lx)</t>
  </si>
  <si>
    <t>· prům. účinnost osvětlení: 20 %</t>
  </si>
  <si>
    <t>· další tepelné zisky: 0,0 W</t>
  </si>
  <si>
    <t>Teplo na přípravu TV:                        107668,8 MJ/rok</t>
  </si>
  <si>
    <t>....... odvozeno pro                              · dodanou energii na přípravu TV: 20,0 kWh/(m2.a) Zpětně získané teplo mimo VZT:      0,0 MJ/rok</t>
  </si>
  <si>
    <t>Zdroje tepla na vytápění v zóně</t>
  </si>
  <si>
    <t>Vytápění je zajištěno VZT:                 ne</t>
  </si>
  <si>
    <t>Účinnost sdílení/distribuce:                88,0 % / 89,0 %</t>
  </si>
  <si>
    <t>Název zdroje tepla:                             CZT Dalkia (podíl 100,0 %)</t>
  </si>
  <si>
    <t>Typ zdroje tepla:                                 obecný zdroj tepla (např. kotel)</t>
  </si>
  <si>
    <t>Účinnost výroby tepla:                        98,0 %</t>
  </si>
  <si>
    <t>Příkon čerpadel vytápění:                  250,0 W Příkon regulace/emise tepla:             0,0 / 0,0 W</t>
  </si>
  <si>
    <t>Zdroje tepla na přípravu TV v zóně</t>
  </si>
  <si>
    <t>Název zdroje tepla:                             CZT Dalkia (podíl 100,0 %)  Typ zdroje přípravy TV:                      obecný zdroj tepla (např. kotel) Účinnost zdroje přípravy TV:             98,0 %</t>
  </si>
  <si>
    <t>Měrný tepelný tok větráním zóny č. 1 :</t>
  </si>
  <si>
    <t>Měrný tepelný tok prostupem mezi zónou č. 1 a exteriérem :</t>
  </si>
  <si>
    <t>Název konstrukce</t>
  </si>
  <si>
    <t>Plocha [m2]</t>
  </si>
  <si>
    <t>U [W/m2K]</t>
  </si>
  <si>
    <t>b [-]</t>
  </si>
  <si>
    <t>H,T [W/K]</t>
  </si>
  <si>
    <t>U,N [W/m2K]</t>
  </si>
  <si>
    <t>SO1 1NP - SZ</t>
  </si>
  <si>
    <t>SO1 1NP - JZ</t>
  </si>
  <si>
    <t>SO1 1NP - JV</t>
  </si>
  <si>
    <t>SO1 1NP - SV lodžie</t>
  </si>
  <si>
    <t>SO1 2-8NP - SZ</t>
  </si>
  <si>
    <t>SO1 2-8NP - JZ</t>
  </si>
  <si>
    <t>SO1 2-8NP - JV</t>
  </si>
  <si>
    <t>SO1 2-8NP - SV lodžie</t>
  </si>
  <si>
    <t>Střecha</t>
  </si>
  <si>
    <t>OK5 - 1NP</t>
  </si>
  <si>
    <t>3,36 (2,1x1,6 x 1)</t>
  </si>
  <si>
    <t>OK2 - 1NP</t>
  </si>
  <si>
    <t>9,6 (3,0x1,6 x 2)</t>
  </si>
  <si>
    <t>OK6 - 1NP</t>
  </si>
  <si>
    <t>2,88 (1,8x1,6 x 1)</t>
  </si>
  <si>
    <t>OK7 - 1NP</t>
  </si>
  <si>
    <t>2,4 (1,5x1,6 x 1)</t>
  </si>
  <si>
    <t>Balk. dveře - 1NP</t>
  </si>
  <si>
    <t>3,78 (0,9x2,1 x 2)</t>
  </si>
  <si>
    <t>OK8 - 1NP</t>
  </si>
  <si>
    <t>5,76 (1,2x1,6 x 3)</t>
  </si>
  <si>
    <t>OK5 -1NP</t>
  </si>
  <si>
    <t>6,72 (2,1x1,6 x 2)</t>
  </si>
  <si>
    <t>OK5 - 2-8NP</t>
  </si>
  <si>
    <t>23,52 (2,1x1,6 x 7)</t>
  </si>
  <si>
    <t>OK2 - 2-8NP</t>
  </si>
  <si>
    <t>67,2 (3,0x1,6 x 14)</t>
  </si>
  <si>
    <t>OK6 - 2-8NP</t>
  </si>
  <si>
    <t>20,16 (1,8x1,6 x 7)</t>
  </si>
  <si>
    <t>OK7 - 2-8NP</t>
  </si>
  <si>
    <t>16,8 (1,5x1,6 x 7)</t>
  </si>
  <si>
    <t>Balk.dveře - 2-8NP</t>
  </si>
  <si>
    <t>26,46 (0,9x2,1 x 14)</t>
  </si>
  <si>
    <t>OK8 - 2-8NP</t>
  </si>
  <si>
    <t>40,32 (1,2x1,6 x 21)</t>
  </si>
  <si>
    <t>33,6 (3,0x1,6 x 7)</t>
  </si>
  <si>
    <t>47,04 (2,1x1,6 x 14)</t>
  </si>
  <si>
    <t>Vysvětlivky:           U je součinitel prostupu tepla konstrukce; b je činitel teplotní redukce; H,T je měrný tok prostupem tepla</t>
  </si>
  <si>
    <t>a U,N je požadovaná hodnota součinitele prostupu tepla podle ČSN 730540-2.</t>
  </si>
  <si>
    <t>Vliv tepelných vazeb je ve výpočtu zahrnut přibližně součinem (A * DeltaU,tbm).</t>
  </si>
  <si>
    <t>Průměrný vliv tepelných vazeb DeltaU,tbm:                 0,05 W/m2K</t>
  </si>
  <si>
    <t>Měrný tok prostupem do exteriéru plošnými konstrukcemi Hd,c:         644,866 W/K</t>
  </si>
  <si>
    <t>......................................... a příslušnými tepelnými vazbami Hd,tb:     69,319 W/K</t>
  </si>
  <si>
    <t>Měrný tepelný tok prostupem zeminou u zóny č. 1 :</t>
  </si>
  <si>
    <t>                                                                                                                     1. konstrukce ve styku se zeminou        </t>
  </si>
  <si>
    <t>Název konstrukce:</t>
  </si>
  <si>
    <t>Tepelná vodivost zeminy: Plocha podlahy: Exponovaný obvod podlahy:</t>
  </si>
  <si>
    <t>Součinitel vlivu spodní vody Gw:"</t>
  </si>
  <si>
    <t>Podlaha nad 1.PP</t>
  </si>
  <si>
    <t>2,0 W/mK</t>
  </si>
  <si>
    <t>177,09 m2</t>
  </si>
  <si>
    <t>45,755 m</t>
  </si>
  <si>
    <t>1,0"</t>
  </si>
  <si>
    <t>Typ podlahové konstrukce: Tloušťka suterénní stěny:</t>
  </si>
  <si>
    <t>nevytápěný nebo částečně vytápěný suterén 0,35 m</t>
  </si>
  <si>
    <t>Tepelný odpor podlahy nad suterénem:                       1,02 m2K/W</t>
  </si>
  <si>
    <t>Tepelný odpor podlahy suterénu:                                 0,08 m2K/W</t>
  </si>
  <si>
    <t>Tepelný odpor suterénních stěn:                                  1,99 m2K/W</t>
  </si>
  <si>
    <t>Tepelný odpor stěn nad terénem:                                 2,82 m2K/W</t>
  </si>
  <si>
    <t>Hloubka podlahy suterénu pod terénem:                     1,1 m</t>
  </si>
  <si>
    <t>Výška horní hrany podlahy nad terénem:                    1,5 m</t>
  </si>
  <si>
    <t>Násobnost výměny vzduchu v suterénu:                     0,1 1/h</t>
  </si>
  <si>
    <t>Objem vzduchu v suterénu:                                          442,7 m3</t>
  </si>
  <si>
    <t>Plocha vytápěné části suterénu:                                  0,0 m2</t>
  </si>
  <si>
    <t>Souč.prostupu mezi interiérem a exteriérem U:          0,371 W/m2K Ustálený měrný tok zeminou Hg:                                  65,621 W/K</t>
  </si>
  <si>
    <t>Kolísání ekv. měsíčních měrných toků Hg,m:                      od 55,219 do 174,505 W/K</t>
  </si>
  <si>
    <t>....... stanoveno pro periodické toky Hpi / Hpe:                    75,767 / 42,858 W/K</t>
  </si>
  <si>
    <t>Celkový ustálený měrný tok zeminou Hg:                    65,621 W/K</t>
  </si>
  <si>
    <t>............. a příslušnými tep. vazbami Hg,tb:                  8,855 W/K</t>
  </si>
  <si>
    <t>Kolísání celk. ekv. měsíčních měrných toků Hg,m:             od 55,219 do 174,505 W/K</t>
  </si>
  <si>
    <t>Solární zisky stavebními konstrukcemi zóny č. 1 :</t>
  </si>
  <si>
    <t>OK5 - 1NP"</t>
  </si>
  <si>
    <t>3,36"</t>
  </si>
  <si>
    <t>g/alfa [-]</t>
  </si>
  <si>
    <t>0,67"</t>
  </si>
  <si>
    <t>Fgl/Ff [-]</t>
  </si>
  <si>
    <t>0,7/0,3"</t>
  </si>
  <si>
    <t>Fc,h/Fc,c [-]</t>
  </si>
  <si>
    <t>1,0/1,0"</t>
  </si>
  <si>
    <t>Fs [-]</t>
  </si>
  <si>
    <t>Orientace</t>
  </si>
  <si>
    <t>SZ (90 st.)"</t>
  </si>
  <si>
    <t>0,7/0,3</t>
  </si>
  <si>
    <t>1,0/1,0</t>
  </si>
  <si>
    <t>SZ (90 st.)</t>
  </si>
  <si>
    <t>JV (90 st.)</t>
  </si>
  <si>
    <t>Vysvětlivky:           g je propustnost slunečního záření zasklení v průsvitných konstrukcích; alfa je pohltivost slunečního záření vnějšího</t>
  </si>
  <si>
    <t>povrchu neprůsvitných konstrukcí; Fgl je korekční činitel zasklení (podíl plochy zasklení k celkové ploše okna);</t>
  </si>
  <si>
    <t>Ff je korekční činitel rámu (podíl plochy rámu k celk. ploše okna); Fc,h je korekční činitel clonění pohyblivými clonami pro režim vytápění; Fc,c je korekční činitel clonění pro režim chlazení a Fs je korekční činitel stínění nepohyblivými částmi budovy a okolní zástavbou.</t>
  </si>
  <si>
    <t>Celkový solární zisk konstrukcemi Qs (MJ):</t>
  </si>
  <si>
    <t>Měsíc:</t>
  </si>
  <si>
    <t>Zisk (vytápění):</t>
  </si>
  <si>
    <t>PARAMETRY ZÓNY Č. 2 :</t>
  </si>
  <si>
    <t>Název zóny:                                       Chodby</t>
  </si>
  <si>
    <t>Geometrie (objem/podlah.pl.):           662,6 m3 / 202,7 m2 Celk. energet. vztažná plocha:          224,3 m2</t>
  </si>
  <si>
    <t>Vnitřní teplota (zima/léto):                  16,0 C / 20,0 C Zóna je vytápěna/chlazena:               ano / ne</t>
  </si>
  <si>
    <t>Průměrné vnitřní zisky:                      316 W</t>
  </si>
  <si>
    <t>....... odvozeny pro                              · produkci tepla: 0,0+3,0 W/m2 (osoby+spotřebiče)</t>
  </si>
  <si>
    <t>· časový podíl produkce: 0+20 % (osoby+spotřebiče)</t>
  </si>
  <si>
    <t>· minimální přípustnou osvětlenost: 75,0 lx</t>
  </si>
  <si>
    <t>Teplo na přípravu TV:                        0,0 MJ/rok</t>
  </si>
  <si>
    <t>....... odvozeno pro                              · dodanou energii na přípravu TV: 0,0 kWh/(m2.a)</t>
  </si>
  <si>
    <t>Zpětně získané teplo mimo VZT:      0,0 MJ/rok</t>
  </si>
  <si>
    <t>Příkon čerpadel vytápění:                  30,2 W Příkon regulace/emise tepla:             0,0 / 0,0 W</t>
  </si>
  <si>
    <t>Měrný tepelný tok větráním zóny č. 2 :</t>
  </si>
  <si>
    <t>Objem vzduchu v zóně:</t>
  </si>
  <si>
    <t>546,645 m3</t>
  </si>
  <si>
    <t>Podíl vzduchu z objemu zóny: Typ větrání zóny:</t>
  </si>
  <si>
    <t>přirozené"</t>
  </si>
  <si>
    <t>Minimální násobnost výměny:</t>
  </si>
  <si>
    <t>0,1 1/h</t>
  </si>
  <si>
    <t>Návrhová násobnost výměny:</t>
  </si>
  <si>
    <t>Měrný tepelný tok větráním Hv:         18,039 W/K</t>
  </si>
  <si>
    <t>Měrný tepelný tok prostupem mezi zónou č. 2 a exteriérem :</t>
  </si>
  <si>
    <t>SO1 - 1NP SZ"</t>
  </si>
  <si>
    <t>7,79"</t>
  </si>
  <si>
    <t>0,220"</t>
  </si>
  <si>
    <t>1,00"</t>
  </si>
  <si>
    <t>1,714"</t>
  </si>
  <si>
    <t>0,300"</t>
  </si>
  <si>
    <t>SO1 - 1NP JV</t>
  </si>
  <si>
    <t>SO1 - 2-8NP SZ</t>
  </si>
  <si>
    <t>Vstupní dveře</t>
  </si>
  <si>
    <t>3,36 (1,6x2,1 x 1)</t>
  </si>
  <si>
    <t>OK1 - SZ</t>
  </si>
  <si>
    <t>0,64 (1,6x0,4 x 1)</t>
  </si>
  <si>
    <t>OK2 - SZ</t>
  </si>
  <si>
    <t>4,8 (3,0x1,6 x 1)</t>
  </si>
  <si>
    <t>28,8 (3,0x1,6 x 6)</t>
  </si>
  <si>
    <t>Dveře-zadní vchod</t>
  </si>
  <si>
    <t>OK3 - JV</t>
  </si>
  <si>
    <t>3,52 (1,1x1,6 x 2)</t>
  </si>
  <si>
    <t>OK4 - JV</t>
  </si>
  <si>
    <t>Měrný tok prostupem do exteriéru plošnými konstrukcemi Hd,c:         82,811 W/K</t>
  </si>
  <si>
    <t>......................................... a příslušnými tepelnými vazbami Hd,tb:     6,833 W/K</t>
  </si>
  <si>
    <t>Měrný tepelný tok prostupem zeminou u zóny č. 2 :</t>
  </si>
  <si>
    <t>Tepelná vodivost zeminy:"</t>
  </si>
  <si>
    <t>2,0 W/mK"</t>
  </si>
  <si>
    <t>Plocha podlahy:</t>
  </si>
  <si>
    <t>63,54 m2</t>
  </si>
  <si>
    <t>Exponovaný obvod podlahy:</t>
  </si>
  <si>
    <t>11,1 m</t>
  </si>
  <si>
    <t>Součinitel vlivu spodní vody Gw:</t>
  </si>
  <si>
    <t>Typ podlahové konstrukce:</t>
  </si>
  <si>
    <t>nevytápěný nebo částečně vytápěný suterén</t>
  </si>
  <si>
    <t>Tloušťka suterénní stěny:</t>
  </si>
  <si>
    <t>0,35 m</t>
  </si>
  <si>
    <t>Tepelný odpor suterénních stěn:                                  1,998 m2K/W</t>
  </si>
  <si>
    <t>Objem vzduchu v suterénu:                                          95,31 m3</t>
  </si>
  <si>
    <t>Souč.prostupu mezi interiérem a exteriérem U:          0,313 W/m2K</t>
  </si>
  <si>
    <t>Ustálený měrný tok zeminou Hg:                                  19,869 W/K</t>
  </si>
  <si>
    <t>Kolísání ekv. měsíčních měrných toků Hg,m:                      od -654,829 do 37,704 W/K</t>
  </si>
  <si>
    <t>....... stanoveno pro periodické toky Hpi / Hpe:                    25,585 / 11,068 W/K</t>
  </si>
  <si>
    <t>Celkový ustálený měrný tok zeminou Hg:                    19,869 W/K</t>
  </si>
  <si>
    <t>............. a příslušnými tep. vazbami Hg,tb:                  3,177 W/K</t>
  </si>
  <si>
    <t>Kolísání celk. ekv. měsíčních měrných toků Hg,m:             od -654,829 do 37,704 W/K</t>
  </si>
  <si>
    <t>Solární zisky stavebními konstrukcemi zóny č. 2 :</t>
  </si>
  <si>
    <t>Vstupní dveře"</t>
  </si>
  <si>
    <t>1,0/0,0"</t>
  </si>
  <si>
    <t>0,6/0,4</t>
  </si>
  <si>
    <t>PARAMETRY NEVYTÁPĚNÉHO PROSTORU Č. 1 :</t>
  </si>
  <si>
    <t>Základní popis prostoru</t>
  </si>
  <si>
    <t>Název prostoru:                                  Sklepy</t>
  </si>
  <si>
    <t>Měrná dod. energie na osvětlení:      1,0 kWh/(m2.rok) Celk. půdorysná plocha:                    240,7 m2</t>
  </si>
  <si>
    <t>Dodaná elektřina na osvětlení:          866,5 MJ/rok</t>
  </si>
  <si>
    <t xml:space="preserve">     PŘEHLEDNÉ VÝSLEDKY VÝPOČTU PRO JEDNOTLIVÉ ZÓNY :                                  </t>
  </si>
  <si>
    <t>VÝSLEDKY VÝPOČTU PRO ZÓNU Č. 1 :</t>
  </si>
  <si>
    <t>Vnitřní teplota (zima/léto):                  20,0 C / 20,0 C Zóna je vytápěna/chlazena:               ano / ne Regulace otopné soustavy:               ano</t>
  </si>
  <si>
    <t>Měrný tepelný tok větráním Hv:                                          384,685 W/K</t>
  </si>
  <si>
    <t>Měrný tok prostupem do exteriéru Hd a celkový</t>
  </si>
  <si>
    <t>měrný tok prostupem tep. vazbami H,tb:                            723,039 W/K</t>
  </si>
  <si>
    <t>Ustálený měrný tok zeminou Hg:                                        65,621 W/K Měrný tok prostupem nevytápěnými prostory Hu:             ---</t>
  </si>
  <si>
    <t>Měrný tok Trombeho stěnami H,tw:                                    ---</t>
  </si>
  <si>
    <t>Měrný tok větranými stěnami H,vw:                                    ---</t>
  </si>
  <si>
    <t>Měrný tok prvky s transparentní izolací H,ti:                      --- Přídavný měrný tok podlahovým vytápěním dHt:              ---</t>
  </si>
  <si>
    <t>Výsledný měrný tok H:                                                     1173,346 W/K</t>
  </si>
  <si>
    <t>Výsledný měrný tok do zóny č.2   H,12:                                  ---</t>
  </si>
  <si>
    <t>Potřeba tepla na vytápění po měsících:</t>
  </si>
  <si>
    <t>Měsíc</t>
  </si>
  <si>
    <t>Q,H,ht[GJ]</t>
  </si>
  <si>
    <t>Q,int[GJ]</t>
  </si>
  <si>
    <t>Q,sol[GJ]</t>
  </si>
  <si>
    <t>Q,gn [GJ]</t>
  </si>
  <si>
    <t>Eta,H [-]</t>
  </si>
  <si>
    <t>fH [%]</t>
  </si>
  <si>
    <t>Q,H,nd[GJ]</t>
  </si>
  <si>
    <t>---</t>
  </si>
  <si>
    <t>Vysvětlivky:           Q,H,ht je potřeba tepla na pokrytí tepelné ztráty; Q,int jsou vnitřní tepelné zisky; Q,sol jsou solární</t>
  </si>
  <si>
    <t>tepelné zisky; Q,gn jsou celkové tepelné zisky; Eta,H je stupeň využitelnosti tepelných zisků; fH je část měsíce, v níž musí být zóna s regulovaným vytápěním vytápěna, a Q,H,nd je potřeba tepla na vytápění.</t>
  </si>
  <si>
    <t>Potřeba tepla na vytápění za rok Q,H,nd:                      166,929 GJ</t>
  </si>
  <si>
    <t>Energie dodaná do zóny po měsících:</t>
  </si>
  <si>
    <t>Q,f,H[GJ]</t>
  </si>
  <si>
    <t>Q,f,C[GJ]</t>
  </si>
  <si>
    <t>---"</t>
  </si>
  <si>
    <t>Q,f,RH[GJ]</t>
  </si>
  <si>
    <t>Q,f,F[GJ]</t>
  </si>
  <si>
    <t>Q,f,W[GJ]</t>
  </si>
  <si>
    <t>Q,f,L[GJ]</t>
  </si>
  <si>
    <t>Q,f,A[GJ]</t>
  </si>
  <si>
    <t>Q,fuel[GJ]</t>
  </si>
  <si>
    <t>Vysvětlivky:           Q,f,H je vypočtená spotřeba energie na vytápění; Q,f,C je vypočtená spotřeba energie na chlazení; Q,f,RH je</t>
  </si>
  <si>
    <t>vypočtená spotřeba energie na úpravu vlhkosti vzduchu; Q,f,F je vypočtená spotřeba energie na nucené větrání; Q,f,W je vypočtená spotřeba energie na přípravu teplé vody; Q,f,L je vypočtená spotřeba energie na osvětlení (popř. i na spotřebiče); Q,f,A je pomocná energie (čerpadla, regulace atd.) a Q,fuel je celková dodaná energie. Všechny hodnoty zohledňují vlivy účinností technických systémů.</t>
  </si>
  <si>
    <t>Celková roční dodaná energie Q,fuel:                            410,136 GJ</t>
  </si>
  <si>
    <t>Průměrný součinitel prostupu tepla zóny</t>
  </si>
  <si>
    <t>Měrný tepelný tok prostupem obálkou zóny Ht:                                                        788,7 W/K</t>
  </si>
  <si>
    <t>Plocha obalových konstrukcí zóny:                                                                            1563,5 m2</t>
  </si>
  <si>
    <t>Výchozí hodnota požadavku na průměrný součinitel prostupu tepla</t>
  </si>
  <si>
    <t>podle čl. 5.3.4 v ČSN 730540-2 (2011) .......... Uem,N,20:                                        0,57 W/m2K</t>
  </si>
  <si>
    <t>Průměrný součinitel prostupu tepla zóny U,em:                                                  0,50 W/m2K</t>
  </si>
  <si>
    <t>VÝSLEDKY VÝPOČTU PRO ZÓNU Č. 2 :</t>
  </si>
  <si>
    <t>Vnitřní teplota (zima/léto):                  16,0 C / 20,0 C Zóna je vytápěna/chlazena:               ano / ne Regulace otopné soustavy:               ano</t>
  </si>
  <si>
    <t>Měrný tepelný tok větráním Hv:                                          18,039 W/K</t>
  </si>
  <si>
    <t>měrný tok prostupem tep. vazbami H,tb:                            92,820 W/K</t>
  </si>
  <si>
    <t>Ustálený měrný tok zeminou Hg:                                        19,869 W/K Měrný tok prostupem nevytápěnými prostory Hu:             ---</t>
  </si>
  <si>
    <t>Výsledný měrný tok H:                                                     130,729 W/K</t>
  </si>
  <si>
    <t>Výsledný měrný tok do zóny č.1   H,21:                                  ---</t>
  </si>
  <si>
    <t>Potřeba tepla na vytápění za rok Q,H,nd:                      13,275 GJ</t>
  </si>
  <si>
    <t>Celková roční dodaná energie Q,fuel:                            25,728 GJ</t>
  </si>
  <si>
    <t>Měrný tepelný tok prostupem obálkou zóny Ht:                                                        112,7 W/K</t>
  </si>
  <si>
    <t>Plocha obalových konstrukcí zóny:                                                                            200,2 m2</t>
  </si>
  <si>
    <t>podle čl. 5.3.4 v ČSN 730540-2 (2011) .......... Uem,N,20:                                        0,60 W/m2K</t>
  </si>
  <si>
    <t>Průměrný součinitel prostupu tepla zóny U,em:                                                  0,56 W/m2K</t>
  </si>
  <si>
    <t>VÝSLEDKY VÝPOČTU PRO NEVYTÁPĚNÝ PROSTOR Č. 1 :</t>
  </si>
  <si>
    <t>Název prostoru:  Sklepy</t>
  </si>
  <si>
    <t>Energie dodaná do prostoru po měsících:</t>
  </si>
  <si>
    <t>Celková roční dodaná energie Q,fuel:                            0,867 GJ</t>
  </si>
  <si>
    <t xml:space="preserve">     PŘEHLEDNÉ VÝSLEDKY VÝPOČTU PRO CELOU BUDOVU :                                      </t>
  </si>
  <si>
    <t>Faktor tvaru budovy A/V:               0,32 m2/m3</t>
  </si>
  <si>
    <t>Rozložení měrných tepelných toků</t>
  </si>
  <si>
    <t>Zóna      Položka</t>
  </si>
  <si>
    <t>1            Celkový měrný tok H:"</t>
  </si>
  <si>
    <t>Měrný tok [W/K]</t>
  </si>
  <si>
    <t>1173,346"</t>
  </si>
  <si>
    <t>Procento [%]</t>
  </si>
  <si>
    <t>100,00 %"</t>
  </si>
  <si>
    <t>z toho:        Měrný tok výměnou vzduchu Hv:</t>
  </si>
  <si>
    <t>Měrný (ustálený) tok zeminou Hg:</t>
  </si>
  <si>
    <t>Měrný tok přes nevytápěné prostory Hu:</t>
  </si>
  <si>
    <t>Měrný tok tepelnými vazbami H,tb:</t>
  </si>
  <si>
    <t>Měrný tok do ext. plošnými kcemi Hd,c:</t>
  </si>
  <si>
    <t>rozložení měrných toků po konstrukcích:</t>
  </si>
  <si>
    <t>Obvodová stěna:</t>
  </si>
  <si>
    <t>Střecha:</t>
  </si>
  <si>
    <t>Podlaha:</t>
  </si>
  <si>
    <t>Otvorová výplň:</t>
  </si>
  <si>
    <t>Otvorová výplň 1:</t>
  </si>
  <si>
    <t>Obvodová stěna 1:</t>
  </si>
  <si>
    <t>Otvorová výplň 2:</t>
  </si>
  <si>
    <t>Podlaha 1:</t>
  </si>
  <si>
    <t>Podlaha 2:</t>
  </si>
  <si>
    <t>Celkový měrný tok H:</t>
  </si>
  <si>
    <t>z toho:</t>
  </si>
  <si>
    <t>Měrný tok výměnou vzduchu Hv:</t>
  </si>
  <si>
    <t>Měrný tok speciálními konstrukcemi dH:</t>
  </si>
  <si>
    <t>Měrný tok budovou a parametry podle starších předpisů</t>
  </si>
  <si>
    <t>Součet celkových měrných tepelných toků jednotlivými zónami Hc:                        1304,074 W/K Objem budovy stanovený z vnějších rozměrů:                                                          5568,8 m3</t>
  </si>
  <si>
    <t>Tepelná charakteristika budovy podle ČSN 730540 (1994):                                     0,23 W/m3K</t>
  </si>
  <si>
    <t>Spotřeba tepla na vytápění podle STN 730540, Zmena 5 (1997):                           17,2 kWh/(m3.a)</t>
  </si>
  <si>
    <t>Poznámka:            Orientační tepelnou ztrátu budovy lze získat vynásobením součtu měrných toků jednotlivých zón Hc působícím teplotním rozdílem mezi interiérem a exteriérem.</t>
  </si>
  <si>
    <t>Průměrný součinitel prostupu tepla budovy</t>
  </si>
  <si>
    <t>Měrný tepelný tok prostupem obálkou budovy Ht:                                                    901,3 W/K</t>
  </si>
  <si>
    <t>Plocha obalových konstrukcí budovy:                                                                        1763,7 m2</t>
  </si>
  <si>
    <t>Průměrný součinitel prostupu tepla budovy U,em:                               0,51 W/m2K</t>
  </si>
  <si>
    <t>Potřeba tepla na vytápění budovy</t>
  </si>
  <si>
    <t>Potřeba tepla na vytápění za rok Q,H,nd:</t>
  </si>
  <si>
    <t>180,204 GJ</t>
  </si>
  <si>
    <t>50,057 MWh</t>
  </si>
  <si>
    <t>Objem budovy stanovený z vnějších rozměrů: Celková energeticky vztažná podlah. plocha budovy:</t>
  </si>
  <si>
    <t>5568,8 m3</t>
  </si>
  <si>
    <t>1925,6 m2"</t>
  </si>
  <si>
    <t>Měrná potřeba tepla na vytápění budovy (na 1 m3):</t>
  </si>
  <si>
    <t>9,0 kWh/(m3.a)</t>
  </si>
  <si>
    <t>GJ</t>
  </si>
  <si>
    <t>Měrná potřeba tepla na vytápění budovy:             26 kWh/(m2.a)</t>
  </si>
  <si>
    <t>MWh</t>
  </si>
  <si>
    <t>Hodnota byla stanovena pro počet denostupňů D =           3473.</t>
  </si>
  <si>
    <t>Poznámka: Měrná potřeba tepla je stanovena bez vlivu účinností systémů výroby, distribuce a emise tepla.</t>
  </si>
  <si>
    <t>Celková energie dodaná do budovy</t>
  </si>
  <si>
    <t>Dodané energie:</t>
  </si>
  <si>
    <t>Vyp.spotřeba energie na vytápění za rok Q,fuel,H:"</t>
  </si>
  <si>
    <t>234,783 GJ</t>
  </si>
  <si>
    <t>65,217 MWh</t>
  </si>
  <si>
    <t>34 kWh/m2</t>
  </si>
  <si>
    <t>Pomocná energie na vytápění Q,aux,H:</t>
  </si>
  <si>
    <t>Dodaná energie na vytápění za rok EP,H:"</t>
  </si>
  <si>
    <t>8,267 GJ</t>
  </si>
  <si>
    <t>243,049 GJ"</t>
  </si>
  <si>
    <t>2,296 MWh</t>
  </si>
  <si>
    <t>67,514 MWh"</t>
  </si>
  <si>
    <t>1 kWh/m2</t>
  </si>
  <si>
    <t>35 kWh/m2"</t>
  </si>
  <si>
    <t>Vyp.spotřeba energie na chlazení za rok Q,fuel,C: Pomocná energie na chlazení Q,aux,C:</t>
  </si>
  <si>
    <t>Dodaná energie na chlazení za rok EP,C:"</t>
  </si>
  <si>
    <t>Vyp.spotřeba energie na úpravu vlhkosti Q,fuel,RH: Pomocná energie na úpravu vlhkosti Q,aux,RH: Dodaná energie na úpravu vlhkosti EP,RH:</t>
  </si>
  <si>
    <t>Vyp.spotřeba energie na nucené větrání Q,fuel,F: Pomocná energie na nucené větrání Q,aux,F: Dodaná energie na nuc.větrání za rok EP,F:</t>
  </si>
  <si>
    <t>Vyp.spotřeba energie na přípravu TV Q,fuel,W: Pomocná energie na přípravu teplé vody Q,aux,W: Dodaná energie na přípravu TV za rok EP,W:</t>
  </si>
  <si>
    <t>109,866 GJ</t>
  </si>
  <si>
    <t>109,866 GJ"</t>
  </si>
  <si>
    <t>30,518 MWh</t>
  </si>
  <si>
    <t>30,518 MWh"</t>
  </si>
  <si>
    <t>16 kWh/m2</t>
  </si>
  <si>
    <t>16 kWh/m2"</t>
  </si>
  <si>
    <t>Vyp.spotřeba energie na osvětlení a spotř. Q,fuel,L:</t>
  </si>
  <si>
    <t>Dodaná energie na osvětlení za rok EP,L:"</t>
  </si>
  <si>
    <t>83,815 GJ</t>
  </si>
  <si>
    <t>83,815 GJ"</t>
  </si>
  <si>
    <t>23,282 MWh</t>
  </si>
  <si>
    <t>23,282 MWh"</t>
  </si>
  <si>
    <t>12 kWh/m2</t>
  </si>
  <si>
    <t>12 kWh/m2"</t>
  </si>
  <si>
    <t>Celková roční dodaná energie Q,fuel=EP:</t>
  </si>
  <si>
    <t>436,730 GJ</t>
  </si>
  <si>
    <t>121,314 MWh</t>
  </si>
  <si>
    <t>63 kWh/m2</t>
  </si>
  <si>
    <t>Měrná dodaná energie budovy</t>
  </si>
  <si>
    <t>Celková roční dodaná energie:                               121,314 MWh</t>
  </si>
  <si>
    <t>Objem budovy stanovený z vnějších rozměrů:                     5568,8 m3 Celková energeticky vztažná podlah. plocha budovy:         1925,6 m2</t>
  </si>
  <si>
    <t>Měrná dodaná energie EP,V:                                                21,8 kWh/(m3.a)</t>
  </si>
  <si>
    <t>Měrná dodaná energie budovy EP,A:                     63 kWh/(m2.a)</t>
  </si>
  <si>
    <t>Poznámka: Měrná dodaná energie zahrnuje veškerou dodanou energii včetně vlivů účinností tech. systémů.</t>
  </si>
  <si>
    <t>Rozdělení dodané energie podle energonositelů, primární energie a emise CO2</t>
  </si>
  <si>
    <t>Energo- nositel</t>
  </si>
  <si>
    <t>Faktory</t>
  </si>
  <si>
    <t>transformace"</t>
  </si>
  <si>
    <t>Vytápění</t>
  </si>
  <si>
    <t>------ MWh/a ------"</t>
  </si>
  <si>
    <t>t/a</t>
  </si>
  <si>
    <t>Teplá voda</t>
  </si>
  <si>
    <t>f,pN</t>
  </si>
  <si>
    <t>f,pC</t>
  </si>
  <si>
    <t>f,CO2</t>
  </si>
  <si>
    <t>Q,f</t>
  </si>
  <si>
    <t>Q,pN</t>
  </si>
  <si>
    <t>Q,pC</t>
  </si>
  <si>
    <t>CO2</t>
  </si>
  <si>
    <t>elektřina ze sítě</t>
  </si>
  <si>
    <t>soustava CZT využívající méně n</t>
  </si>
  <si>
    <t>SOUČET</t>
  </si>
  <si>
    <t>Energo-</t>
  </si>
  <si>
    <t>Osvětlení</t>
  </si>
  <si>
    <t>Pom.energie</t>
  </si>
  <si>
    <t>nositel</t>
  </si>
  <si>
    <t>transformace</t>
  </si>
  <si>
    <t>f,pN    f,pC    f,CO2"</t>
  </si>
  <si>
    <t>------ MWh/a ------</t>
  </si>
  <si>
    <t>Q,f     Q,pN  Q,pC"</t>
  </si>
  <si>
    <t>CO2"</t>
  </si>
  <si>
    <t>Q,f     Q,pN  Q,pC  CO2"</t>
  </si>
  <si>
    <t>elektřina (v nevyt. prostorech)</t>
  </si>
  <si>
    <t>Nuc.větrání</t>
  </si>
  <si>
    <t>Chlazení</t>
  </si>
  <si>
    <t>Úprava RH</t>
  </si>
  <si>
    <t>Export elektřiny</t>
  </si>
  <si>
    <t>-------        MWh/a"</t>
  </si>
  <si>
    <t>-------</t>
  </si>
  <si>
    <t>Q,el</t>
  </si>
  <si>
    <t>Vysvětlivky:           f,pN je faktor neobnovitelné primární energie v kWh/kWh; f,pC je faktor celkové primární energie v kWh/kWh;</t>
  </si>
  <si>
    <t>f,CO2 je součinitel emisí CO2 v kg/kWh; Q,f je vypočtená spotřeba energie dodávaná na daný účel příslušným energonositelem v MWh/rok; Q,el je produkce elektřiny v MWh/rok; Q,pN je neobnovitelná primární energie</t>
  </si>
  <si>
    <t>a Q,pC je celková primární energie použitá na daný účel příslušným energonositelem v MWh/rok a CO2 jsou s tím spojené emise CO2 v t/rok.</t>
  </si>
  <si>
    <t>Součty pro jednotlivé energonositele:        Q,f  [MWh/a]    Q,pN  [MWh/a]    Q,pC  [MWh/a]  CO2 [t/a]</t>
  </si>
  <si>
    <t>soustava CZT využívající méně než 50% ob</t>
  </si>
  <si>
    <t>Vysvětlivky:           Q,f je energie dodaná do budovy příslušným energonositelem v MWh/rok; Q,pN je neobnovitelná primární</t>
  </si>
  <si>
    <t>energie a Q,pC je celková primární energie použitá příslušným energonositelem v MWh/rok a CO2 jsou s tím spojené emise CO2 v t/rok.</t>
  </si>
  <si>
    <t>Měrná primární energie a emise CO2 budovy</t>
  </si>
  <si>
    <t>Emise CO2 za rok:"</t>
  </si>
  <si>
    <t>7,573 t</t>
  </si>
  <si>
    <t>Celková primární energie za rok:</t>
  </si>
  <si>
    <t>Neobnovitelná primární energie za rok:"</t>
  </si>
  <si>
    <t>187,160 MWh</t>
  </si>
  <si>
    <t>172,471 MWh"</t>
  </si>
  <si>
    <t>673,775 GJ</t>
  </si>
  <si>
    <t>620,894 GJ"</t>
  </si>
  <si>
    <t>Objem budovy stanovený z vnějších rozměrů:</t>
  </si>
  <si>
    <t>5 568,8 m3</t>
  </si>
  <si>
    <t>Celková energeticky vztažná podlah. plocha budovy:</t>
  </si>
  <si>
    <t>1 925,6 m2</t>
  </si>
  <si>
    <t>Měrné emise CO2 za rok (na 1 m3):</t>
  </si>
  <si>
    <t>1,4 kg/(m3.a)</t>
  </si>
  <si>
    <t>Měrná celková primární energie E,pC,V: Měrná neobnovitelná primární energie E,pN,V:</t>
  </si>
  <si>
    <t>33,6 kWh/(m3.a)</t>
  </si>
  <si>
    <t>31,0 kWh/(m3.a)"</t>
  </si>
  <si>
    <t>Měrné emise CO2 za rok (na 1 m2):</t>
  </si>
  <si>
    <t>Měrná celková primární energie E,pC,A:"</t>
  </si>
  <si>
    <t>4 kg/(m2.a)</t>
  </si>
  <si>
    <t>97 kWh/(m2.a)"</t>
  </si>
  <si>
    <t>Měrná neobnovitelná primární energie E,pN,A:</t>
  </si>
  <si>
    <t>90 kWh/(m2.a)</t>
  </si>
  <si>
    <t>Teplota exteriéru</t>
  </si>
  <si>
    <t>od ř. 86 PENB</t>
  </si>
  <si>
    <t>°C pata ekvitermu podzim 2020</t>
  </si>
  <si>
    <t>porovnání s Praha Kbely:</t>
  </si>
  <si>
    <t>2,1x1,6 x 1)</t>
  </si>
  <si>
    <t>3,0x1,6 x 2)</t>
  </si>
  <si>
    <t>1,8x1,6 x 1)</t>
  </si>
  <si>
    <t>1,5x1,6 x 1)</t>
  </si>
  <si>
    <t>0,9x2,1 x 2)</t>
  </si>
  <si>
    <t>1,2x1,6 x 3)</t>
  </si>
  <si>
    <t>2,1x1,6 x 2)</t>
  </si>
  <si>
    <t>2,1x1,6 x 7)</t>
  </si>
  <si>
    <t>3,0x1,6 x 14)</t>
  </si>
  <si>
    <t>1,8x1,6 x 7)</t>
  </si>
  <si>
    <t>1,5x1,6 x 7)</t>
  </si>
  <si>
    <t>0,9x2,1 x 14)</t>
  </si>
  <si>
    <t>1,2x1,6 x 21)</t>
  </si>
  <si>
    <t>3,0x1,6 x 7)</t>
  </si>
  <si>
    <t>2,1x1,6 x 14)</t>
  </si>
  <si>
    <t>m2 suma oken</t>
  </si>
  <si>
    <t>dní</t>
  </si>
  <si>
    <t>m.n.m.</t>
  </si>
  <si>
    <t>sumace spotřeb</t>
  </si>
  <si>
    <t>sumace spotřeb ekviterm (kWh)</t>
  </si>
  <si>
    <t>kW se sl</t>
  </si>
  <si>
    <t>kW PENB</t>
  </si>
  <si>
    <t>sumace reálných spotřeb</t>
  </si>
  <si>
    <t>dle tepláren</t>
  </si>
  <si>
    <t>https://forum.tzb-info.cz/133895-nejlepsi-tepelne-cerpadlo/vsechny-prispevky#text596</t>
  </si>
  <si>
    <t>°C venku v 280 m.n.m. - testovací řádek 1.4.2015</t>
  </si>
  <si>
    <t>https://www.degreedays.net       LKKB        base 30°C</t>
  </si>
  <si>
    <t>LG při W 50°C</t>
  </si>
  <si>
    <t>m.n.m</t>
  </si>
  <si>
    <t>Průměr °C</t>
  </si>
  <si>
    <t>spotř</t>
  </si>
  <si>
    <t>kWh/měs</t>
  </si>
  <si>
    <t>kW klidová spotřeba</t>
  </si>
  <si>
    <t>vt</t>
  </si>
  <si>
    <t>nt</t>
  </si>
  <si>
    <t>pomer</t>
  </si>
  <si>
    <t>kW VT</t>
  </si>
  <si>
    <t>kW NT</t>
  </si>
  <si>
    <t>VT</t>
  </si>
  <si>
    <t>NT</t>
  </si>
  <si>
    <t>zadávejte žlutá pole, sledujte krytí.</t>
  </si>
  <si>
    <t>korekce na 280 m.n.m</t>
  </si>
  <si>
    <t>https://forum.tzb-info.cz/111698-tc-lwz-303-403-integral-sol-stiebel-eltron/vsechny-prispevky#text67</t>
  </si>
  <si>
    <t>kW tz</t>
  </si>
  <si>
    <t>kW top</t>
  </si>
  <si>
    <t>°C Letňany</t>
  </si>
  <si>
    <t>280 mn.n.m.</t>
  </si>
  <si>
    <t>https://forum.tzb-info.cz/137564-zkusenosti-tc-samsung-ehs-6kw#text11</t>
  </si>
  <si>
    <t>kW ostatní spotřeba</t>
  </si>
  <si>
    <t>letní příkon 450 W , z toho 120 W je normativ ohřevu vody na každou osobu</t>
  </si>
  <si>
    <t>začíná se topit při venkovní teplotě 12°C a dotápí se se strmostí 3 kW/dT30K</t>
  </si>
  <si>
    <t>Dům má reálné ztráty COP x větší.  Tedy např. při COP = 2 jsou TZ 6 kW.</t>
  </si>
  <si>
    <t>Pokles COPu s venkovní teplotou zatím nezapočítávám, ale časem doplním.</t>
  </si>
  <si>
    <t>°C venk 280 m.n.m.</t>
  </si>
  <si>
    <t>https://forum.tzb-info.cz/148561-casty-zapinani/vsechny-prispevky#text71</t>
  </si>
  <si>
    <t>TZ kW</t>
  </si>
  <si>
    <t>°C Kbely</t>
  </si>
  <si>
    <t>stav celkem</t>
  </si>
  <si>
    <t>ohřev vody (kW):</t>
  </si>
  <si>
    <t>Vyškov.265.mnm.</t>
  </si>
  <si>
    <t>https://forum.tzb-info.cz/145770-turbo-vs-kondenzace/vsechny-prispevky#text43</t>
  </si>
  <si>
    <t>snížení v zimě 2019?</t>
  </si>
  <si>
    <t>Výpočet TZ z vlastností domu TZ 4,3 kW/30K téměř odpovídá spotřebě</t>
  </si>
  <si>
    <t>snížení spotřeby změnou kotle od října 2019</t>
  </si>
  <si>
    <t>E3=0,95 od března 2019 přesně</t>
  </si>
  <si>
    <t>E3=0,7 pro období prosinec 18 až únor 19</t>
  </si>
  <si>
    <t>E3=0,8 pro zimu 18/19</t>
  </si>
  <si>
    <t>za období prosinec2020-březen 2021</t>
  </si>
  <si>
    <t>FVE o výkonu 3 kWp</t>
  </si>
  <si>
    <t>9,:</t>
  </si>
  <si>
    <t>3                1</t>
  </si>
  <si>
    <t>kW DS</t>
  </si>
  <si>
    <t>kW spotř</t>
  </si>
  <si>
    <t>nevyt místn</t>
  </si>
  <si>
    <t>Počet osob  v domě</t>
  </si>
  <si>
    <t>jednotek</t>
  </si>
  <si>
    <t>celkem kWh</t>
  </si>
  <si>
    <t>topeni kWh</t>
  </si>
  <si>
    <t>relat vl int %</t>
  </si>
  <si>
    <t>průměrná teplota interiér °C</t>
  </si>
  <si>
    <t>{km/h)</t>
  </si>
  <si>
    <t>dnů se sněhovou pokrývkoupokrývkou</t>
  </si>
  <si>
    <t>glob sl zář kWh/den</t>
  </si>
  <si>
    <t>glob sl zář kWh/m2</t>
  </si>
  <si>
    <t>venk vl %</t>
  </si>
  <si>
    <t>Praha Kbely</t>
  </si>
  <si>
    <t>kW konst spotř</t>
  </si>
  <si>
    <t>bytových</t>
  </si>
  <si>
    <t>E lektroměr</t>
  </si>
  <si>
    <t>meterech</t>
  </si>
  <si>
    <t>sněhovou</t>
  </si>
  <si>
    <t>(kWh/m2/de</t>
  </si>
  <si>
    <t>hkost</t>
  </si>
  <si>
    <t>venkovní         vl</t>
  </si>
  <si>
    <t>Počet</t>
  </si>
  <si>
    <t>větru v 5</t>
  </si>
  <si>
    <t>dnů se</t>
  </si>
  <si>
    <t>záření</t>
  </si>
  <si>
    <t>lativní</t>
  </si>
  <si>
    <t>průměrná        re</t>
  </si>
  <si>
    <t>rychlost</t>
  </si>
  <si>
    <t>sluneční</t>
  </si>
  <si>
    <t>Průměrná</t>
  </si>
  <si>
    <t>globální</t>
  </si>
  <si>
    <t>Přehled spotřeb</t>
  </si>
  <si>
    <t>Kč 17/18 za el</t>
  </si>
  <si>
    <t>Kč 18/19 za el</t>
  </si>
  <si>
    <t>Kč za vodu</t>
  </si>
  <si>
    <t>podlahy kW</t>
  </si>
  <si>
    <t>Kč ročně plyn</t>
  </si>
  <si>
    <t>Kč ročně voda</t>
  </si>
  <si>
    <t>4 stupně je teoreticky konstantní dotop spotřebou elektřiny (2 KW)</t>
  </si>
  <si>
    <t>Z hlediska použitých materiálů vycházejí výpočtové ztráty 25 kW i při</t>
  </si>
  <si>
    <t xml:space="preserve"> realistických vlastnostech neizolované zeminy (výpočet se základy 5°C 40 kW)</t>
  </si>
  <si>
    <t>STOP, Energie 2010</t>
  </si>
  <si>
    <t>Poznámka: Měrná spotřeba energie zahrnuje veškerou dodanou energii včetně vlivů účinností tech. systémů.</t>
  </si>
  <si>
    <t>44 kWh/(m2,a)</t>
  </si>
  <si>
    <t xml:space="preserve">Měrná spotřeba energie budovy EP,A: </t>
  </si>
  <si>
    <t>12,5 kWh/(m3.a)</t>
  </si>
  <si>
    <t xml:space="preserve">Měrná spotřeba dodané energie EP,V: </t>
  </si>
  <si>
    <t>128,3 m2</t>
  </si>
  <si>
    <t xml:space="preserve">Celková podlahová plocha budovy: </t>
  </si>
  <si>
    <t>448,9 m3</t>
  </si>
  <si>
    <t xml:space="preserve">Objem budovy stanovený z vnějších rozměrů: </t>
  </si>
  <si>
    <t>5611 kWh</t>
  </si>
  <si>
    <t xml:space="preserve">Celková roční dodaná energie: </t>
  </si>
  <si>
    <t>Měrná spotřeba energie dodané do budovy</t>
  </si>
  <si>
    <t>44 kWh/m2</t>
  </si>
  <si>
    <t xml:space="preserve">5,611 MWh </t>
  </si>
  <si>
    <t xml:space="preserve">20,200 GJ </t>
  </si>
  <si>
    <t xml:space="preserve">Celková roční dodaná energie Q,fuel=EP: </t>
  </si>
  <si>
    <t xml:space="preserve">--- </t>
  </si>
  <si>
    <t xml:space="preserve">Celková produkce energie za rok Q,e: </t>
  </si>
  <si>
    <t xml:space="preserve">Elektřina z kogenerace za rok Q,CHP,el: </t>
  </si>
  <si>
    <t xml:space="preserve">Elektřina z FV článků za rok Q,PV,el: </t>
  </si>
  <si>
    <t>(již zahrnuto ve výchozí potřebě tepla na vytápění a přípravu teplé vody - zde uvedeno jen informativně)</t>
  </si>
  <si>
    <t xml:space="preserve">z toho se v budově využije: </t>
  </si>
  <si>
    <t xml:space="preserve">Energie ze solárních kolektorů za rok Q,SC,e: </t>
  </si>
  <si>
    <t>3 kWh/m2</t>
  </si>
  <si>
    <t xml:space="preserve">0,384 MWh </t>
  </si>
  <si>
    <t xml:space="preserve">1,384 GJ </t>
  </si>
  <si>
    <t xml:space="preserve">Energ. náročnost osvětlení za rok EP,L: </t>
  </si>
  <si>
    <t xml:space="preserve">Spotřeba energie na osvětlení a spotř. Q,fuel,L: </t>
  </si>
  <si>
    <t>26 kWh/m2</t>
  </si>
  <si>
    <t xml:space="preserve">3,398 MWh </t>
  </si>
  <si>
    <t xml:space="preserve">12,234 GJ </t>
  </si>
  <si>
    <t xml:space="preserve">Energ. náročnost přípravy TV za rok EP,W: </t>
  </si>
  <si>
    <t xml:space="preserve">Spotřeba pom. energie na rozvod TV Q,aux,W: </t>
  </si>
  <si>
    <t xml:space="preserve">Spotřeba energie na přípravu TV Q,fuel,W: </t>
  </si>
  <si>
    <t xml:space="preserve">Energ. náročnost mech. větrání za rok EP,F: </t>
  </si>
  <si>
    <t xml:space="preserve">Spotřeba energie na ventilátory Q,aux,F: </t>
  </si>
  <si>
    <t xml:space="preserve">Spotřeba energie na úpravu vlhkosti Q,fuel,RH: </t>
  </si>
  <si>
    <t xml:space="preserve">Energetická náročnost chlazení za rok EP,C: </t>
  </si>
  <si>
    <t xml:space="preserve">Spotřeba pom. energie na chlazení Q,aux,C: </t>
  </si>
  <si>
    <t xml:space="preserve">Spotřeba energie na chlazení za rok Q,fuel,C: </t>
  </si>
  <si>
    <t>14 kWh/m2</t>
  </si>
  <si>
    <t xml:space="preserve">1,828 MWh </t>
  </si>
  <si>
    <t xml:space="preserve">6,582 GJ </t>
  </si>
  <si>
    <t xml:space="preserve">Energetická náročnost vytápění za rok EP,H: </t>
  </si>
  <si>
    <t xml:space="preserve">Spotřeba pom. energie na vytápění Q,aux,H: </t>
  </si>
  <si>
    <t xml:space="preserve">Spotřeba energie na vytápění za rok Q,fuel,H: </t>
  </si>
  <si>
    <t>a Q,fuel je celková dodaná energie. Všechny hodnoty zohledňují vlivy účinností technických systémů.</t>
  </si>
  <si>
    <t>na osvětlení (a případně i na spotřebiče), Q,f,A je spotřeba pomocné energie (čerpadla, ventilátory atd.)</t>
  </si>
  <si>
    <t>na úpravu vlhkosti vzduchu, Q,f,W je spotřeba energie na přípravu teplé vody, Q,f,L je spotřeba energie</t>
  </si>
  <si>
    <t>Q,f,H je spotřeba energie na vytápění, Q,f,C je spotřeba energie na chlazení, Q,f,RH je spotřeba energie</t>
  </si>
  <si>
    <t xml:space="preserve">Vysvětlivky: </t>
  </si>
  <si>
    <t xml:space="preserve">Q,f,A[GJ] </t>
  </si>
  <si>
    <t xml:space="preserve">Q,f,L[GJ] </t>
  </si>
  <si>
    <t xml:space="preserve">Q,f,W[GJ] </t>
  </si>
  <si>
    <t xml:space="preserve">Q,f,RH[GJ] </t>
  </si>
  <si>
    <t xml:space="preserve">Q,f,C[GJ] </t>
  </si>
  <si>
    <t xml:space="preserve">Q,f,H[GJ] </t>
  </si>
  <si>
    <t xml:space="preserve">Měsíc </t>
  </si>
  <si>
    <t>Celková energie dodaná do budovy</t>
  </si>
  <si>
    <t>47 kWh/(m2.a)</t>
  </si>
  <si>
    <t xml:space="preserve">při daném způsobu větrání a vnitřních ziscích: </t>
  </si>
  <si>
    <t>Měrná potřeba tepla na vytápění pro 3422 denostupňů</t>
  </si>
  <si>
    <t>4300.</t>
  </si>
  <si>
    <t xml:space="preserve">Hodnota byla stanovena pro počet denostupňů D =  </t>
  </si>
  <si>
    <t>59 kWh/(m2.a)</t>
  </si>
  <si>
    <t xml:space="preserve">Měrná potřeba tepla na vytápění budovy: </t>
  </si>
  <si>
    <t>16,9 kWh/(m3.a)</t>
  </si>
  <si>
    <t xml:space="preserve">Měrná potřeba tepla na vytápění budovy (na 1 m3): </t>
  </si>
  <si>
    <t>7,596 MWh</t>
  </si>
  <si>
    <t xml:space="preserve">27,346 GJ </t>
  </si>
  <si>
    <t xml:space="preserve">Celková roční potřeba tepla na vytápění budovy: </t>
  </si>
  <si>
    <t>Celková a měrná potřeba tepla na vytápění</t>
  </si>
  <si>
    <t>0,20 W/m2K</t>
  </si>
  <si>
    <t xml:space="preserve">Průměrný součinitel prostupu tepla obálky budovy U,em: </t>
  </si>
  <si>
    <t>0,29 W/m2K</t>
  </si>
  <si>
    <t xml:space="preserve">Limit odvozený z U,req dílčích konstrukcí... Uem,lim: </t>
  </si>
  <si>
    <t>417,5 m2</t>
  </si>
  <si>
    <t xml:space="preserve">Plocha obalových konstrukcí budovy: </t>
  </si>
  <si>
    <t>81,5 W/K</t>
  </si>
  <si>
    <t xml:space="preserve">Součet měrných tepelných toků prostupem jednotlivými zónami Ht: </t>
  </si>
  <si>
    <t>Průměrný součinitel prostupu tepla budovy</t>
  </si>
  <si>
    <t>působícím teplotním rozdílem mezi interiérem a exteriérem.</t>
  </si>
  <si>
    <t>Orientační tepelnou ztrátu objektu lze získat vynásobením součtu měrných toků jednotlivých zón Hc</t>
  </si>
  <si>
    <t xml:space="preserve">Poznámka:  </t>
  </si>
  <si>
    <t>22,7 kWh/m3,a</t>
  </si>
  <si>
    <t xml:space="preserve">Spotřeba tepla na vytápění podle STN 730540, Zmena 5 (1997): </t>
  </si>
  <si>
    <t>0,31 W/m3K</t>
  </si>
  <si>
    <t xml:space="preserve">Tepelná charakteristika budovy podle ČSN 730540 (1994): </t>
  </si>
  <si>
    <t>138,739 W/K</t>
  </si>
  <si>
    <t xml:space="preserve">Součet celkových měrných tepelných toků jednotlivými zónami Hc: </t>
  </si>
  <si>
    <t>Měrný tok budovou a parametry podle starších předpisů</t>
  </si>
  <si>
    <t xml:space="preserve">Měrný tok speciálními konstrukcemi dH: </t>
  </si>
  <si>
    <t xml:space="preserve">Zbylé méně významné konstrukce: </t>
  </si>
  <si>
    <t xml:space="preserve">Otvorová výplň: </t>
  </si>
  <si>
    <t xml:space="preserve">Podlaha: </t>
  </si>
  <si>
    <t xml:space="preserve">Střecha: </t>
  </si>
  <si>
    <t xml:space="preserve">Obvodová stěna: </t>
  </si>
  <si>
    <t xml:space="preserve">Měrný tok plošnými kcemi Hd,c: </t>
  </si>
  <si>
    <t xml:space="preserve">Měrný tok tepelnými mosty Hd,tb: </t>
  </si>
  <si>
    <t xml:space="preserve">Měrný tok přes nevytápěné prostory Hu: </t>
  </si>
  <si>
    <t xml:space="preserve">Měrný (ustálený) tok zeminou Hg: </t>
  </si>
  <si>
    <t xml:space="preserve">Měrný tok výměnou vzduchu Hv: </t>
  </si>
  <si>
    <t xml:space="preserve">z toho: </t>
  </si>
  <si>
    <t xml:space="preserve">Celkový měrný tok H: </t>
  </si>
  <si>
    <t xml:space="preserve">Měrný tok [W/K] </t>
  </si>
  <si>
    <t xml:space="preserve">Položka </t>
  </si>
  <si>
    <t xml:space="preserve">Zóna </t>
  </si>
  <si>
    <t>Rozložení měrných tepelných toků</t>
  </si>
  <si>
    <t>0,93 m2/m3</t>
  </si>
  <si>
    <t xml:space="preserve">Faktor tvaru budovy A/V: </t>
  </si>
  <si>
    <t>PŘEHLEDNÉ VÝSLEDKY VÝPOČTU PRO CELÝ OBJEKT :</t>
  </si>
  <si>
    <t>20,200 GJ</t>
  </si>
  <si>
    <t xml:space="preserve">Celková roční dodaná energie Q,fuel: </t>
  </si>
  <si>
    <t>Energie dodaná do zóny po měsících:</t>
  </si>
  <si>
    <t>27,346 GJ</t>
  </si>
  <si>
    <t xml:space="preserve">Potřeba tepla na vytápění za rok Q,H,nd: </t>
  </si>
  <si>
    <t>měsíce, v níž musí být zóna s regulovaným vytápěním vytápěna, a Q,H,nd je potřeba tepla na vytápění.</t>
  </si>
  <si>
    <t>tepelné zisky, Q,gn jsou celkové tepelné zisky, Eta,H je stupeň využitelnosti tepelných zisků, fH je část</t>
  </si>
  <si>
    <t>Q,H,ht je potřeba tepla na pokrytí tepelné ztráty, Q,int jsou vnitřní tepelné zisky, Q,sol jsou solární</t>
  </si>
  <si>
    <t>51% jsou ostatní zisky</t>
  </si>
  <si>
    <t>49% topíte</t>
  </si>
  <si>
    <t xml:space="preserve">Q,H,ht[GJ] </t>
  </si>
  <si>
    <t>Dní TZ</t>
  </si>
  <si>
    <t>Q,H,nd[W]</t>
  </si>
  <si>
    <t xml:space="preserve">fH [%] </t>
  </si>
  <si>
    <t xml:space="preserve">Eta,H [-] </t>
  </si>
  <si>
    <t xml:space="preserve">Q,gn [GJ] </t>
  </si>
  <si>
    <t xml:space="preserve">Q,sol[GJ] </t>
  </si>
  <si>
    <t xml:space="preserve">Q,int[GJ] </t>
  </si>
  <si>
    <t xml:space="preserve">Q,H,ht[W] </t>
  </si>
  <si>
    <t>výkony ve Wattech</t>
  </si>
  <si>
    <t>W pro dT 36K</t>
  </si>
  <si>
    <t>Potřeba tepla na vytápění po měsících:</t>
  </si>
  <si>
    <t>W/dT 30K</t>
  </si>
  <si>
    <t>U =</t>
  </si>
  <si>
    <t>https://forum.tzb-info.cz/149818-bungalov-tz-6kw-navrh-zdroja-vykurovania-tuv</t>
  </si>
  <si>
    <t xml:space="preserve">Výsledný měrný tok H: </t>
  </si>
  <si>
    <t xml:space="preserve">Přídavný měrný tok podlahovým vytápěním dHt: </t>
  </si>
  <si>
    <t xml:space="preserve">Měrný tok prvky s transparentní izolací H,ti: </t>
  </si>
  <si>
    <t xml:space="preserve">Měrný tok větranými stěnami H,vw: </t>
  </si>
  <si>
    <t xml:space="preserve">Měrný tok Trombeho stěnami H,tw: </t>
  </si>
  <si>
    <t xml:space="preserve">Měrný tok prostupem nevytáp. prostory Hu: </t>
  </si>
  <si>
    <t>22,783 W/K</t>
  </si>
  <si>
    <t xml:space="preserve">Ustálený měrný tok zeminou Hg: </t>
  </si>
  <si>
    <t>58,724 W/K</t>
  </si>
  <si>
    <t xml:space="preserve">Měrný tok prostupem do exteriéru Hd: </t>
  </si>
  <si>
    <t>57,232 W/K</t>
  </si>
  <si>
    <t xml:space="preserve">Měrný tepelný tok větráním Hv: </t>
  </si>
  <si>
    <t>ano</t>
  </si>
  <si>
    <t xml:space="preserve">Regulace otopné soustavy: </t>
  </si>
  <si>
    <t>ano / ne</t>
  </si>
  <si>
    <t xml:space="preserve">Zóna je vytápěna/chlazena: </t>
  </si>
  <si>
    <t>20,0 C / 20,0 C</t>
  </si>
  <si>
    <t xml:space="preserve">Vnitřní teplota (zima/léto): </t>
  </si>
  <si>
    <t>PŘEHLEDNÉ VÝSLEDKY VÝPOČTU PRO JEDNOTLIVÉ ZÓNY :</t>
  </si>
  <si>
    <t xml:space="preserve">Zisk (vytápění): </t>
  </si>
  <si>
    <t xml:space="preserve">Měsíc: </t>
  </si>
  <si>
    <t>Celkový solární zisk konstrukcemi Qs (MJ):</t>
  </si>
  <si>
    <t xml:space="preserve">Fs [-] </t>
  </si>
  <si>
    <t xml:space="preserve">Fc [-] </t>
  </si>
  <si>
    <t xml:space="preserve">Ff [-] </t>
  </si>
  <si>
    <t xml:space="preserve">g/alfa [-] </t>
  </si>
  <si>
    <t xml:space="preserve">Plocha [m2] </t>
  </si>
  <si>
    <t xml:space="preserve">Název konstrukce </t>
  </si>
  <si>
    <t>Solární zisky stavebními konstrukcemi zóny č. 1 :</t>
  </si>
  <si>
    <t>od 17,493 do 60,7 W/K</t>
  </si>
  <si>
    <t xml:space="preserve">Kolísání celk. ekv. měsíčních měrných toků Hg,m: </t>
  </si>
  <si>
    <t xml:space="preserve">Celkový ustálený měrný tok zeminou Hg: </t>
  </si>
  <si>
    <t>24,133 / 11,61 W/K</t>
  </si>
  <si>
    <t xml:space="preserve">....... stanoveno pro periodické toky Hpi / Hpe: </t>
  </si>
  <si>
    <t xml:space="preserve">Kolísání ekv. měsíčních měrných toků Hg,m: </t>
  </si>
  <si>
    <t>0,178 W/m2K</t>
  </si>
  <si>
    <t xml:space="preserve">Souč.prostupu mezi interiérem a exteriérem U: </t>
  </si>
  <si>
    <t>není</t>
  </si>
  <si>
    <t xml:space="preserve">Přídavná okrajová izolace: </t>
  </si>
  <si>
    <t>3,94 m2K/W</t>
  </si>
  <si>
    <t xml:space="preserve">Tepelný odpor podlahy: </t>
  </si>
  <si>
    <t>0,41 m</t>
  </si>
  <si>
    <t xml:space="preserve">Tloušťka obvodové stěny: </t>
  </si>
  <si>
    <t>podlaha na terénu</t>
  </si>
  <si>
    <t xml:space="preserve">Typ podlahové konstrukce: </t>
  </si>
  <si>
    <t xml:space="preserve">Součinitel vlivu spodní vody Gw: </t>
  </si>
  <si>
    <t>46,0 m</t>
  </si>
  <si>
    <t xml:space="preserve">Exponovaný obvod podlahy: </t>
  </si>
  <si>
    <t>128,25 m2</t>
  </si>
  <si>
    <t xml:space="preserve">Plocha podlahy: </t>
  </si>
  <si>
    <t xml:space="preserve">Tepelná vodivost zeminy: </t>
  </si>
  <si>
    <t xml:space="preserve">podlaha na terene                                                                                                                                     </t>
  </si>
  <si>
    <t xml:space="preserve">Název konstrukce: </t>
  </si>
  <si>
    <t>1. konstrukce ve styku se zeminou</t>
  </si>
  <si>
    <t>Měrný tok zeminou u zóny č. 1 :</t>
  </si>
  <si>
    <t>50,374 W/K</t>
  </si>
  <si>
    <t>0,02 W/m2K</t>
  </si>
  <si>
    <t xml:space="preserve">Průměrný vliv tepelných vazeb DeltaU,tbm: </t>
  </si>
  <si>
    <t>Vliv tepelných vazeb bude ve výpočtu zahrnut přibližně součinem (A * DeltaU,tbm).</t>
  </si>
  <si>
    <t xml:space="preserve">strecha                        </t>
  </si>
  <si>
    <t xml:space="preserve">stena                          </t>
  </si>
  <si>
    <t xml:space="preserve">b [-] </t>
  </si>
  <si>
    <t xml:space="preserve">U [W/m2K] </t>
  </si>
  <si>
    <t>Měrný tepelný tok prostupem mezi zónou č. 1 a exteriérem :</t>
  </si>
  <si>
    <t>0,5 1/h</t>
  </si>
  <si>
    <t xml:space="preserve">Návrhová násobnost výměny: </t>
  </si>
  <si>
    <t xml:space="preserve">Minimální násobnost výměny: </t>
  </si>
  <si>
    <t xml:space="preserve"> přirozené</t>
  </si>
  <si>
    <t xml:space="preserve">Typ větrání zóny: </t>
  </si>
  <si>
    <t xml:space="preserve">Podíl vzduchu z objemu zóny: </t>
  </si>
  <si>
    <t>336,66 m3</t>
  </si>
  <si>
    <t xml:space="preserve">Objem vzduchu v zóně: </t>
  </si>
  <si>
    <t>Měrný tepelný tok větráním zóny č. 1 :</t>
  </si>
  <si>
    <t xml:space="preserve">Účinnost distribuce teplé vody: </t>
  </si>
  <si>
    <t>0,0 W</t>
  </si>
  <si>
    <t xml:space="preserve">Příkon regulace: </t>
  </si>
  <si>
    <t xml:space="preserve">Příkon čerpadel distribuce TV: </t>
  </si>
  <si>
    <t xml:space="preserve">Účinnost zdroje přípravy TV: </t>
  </si>
  <si>
    <t>obecný zdroj tepla (např. kotel)</t>
  </si>
  <si>
    <t xml:space="preserve">Typ zdroje přípravy TV: </t>
  </si>
  <si>
    <t xml:space="preserve"> (podíl 20,0 %)</t>
  </si>
  <si>
    <t xml:space="preserve">Název zdroje tepla: </t>
  </si>
  <si>
    <t xml:space="preserve"> (podíl 80,0 %)</t>
  </si>
  <si>
    <t>0,0 / 0,0 W</t>
  </si>
  <si>
    <t xml:space="preserve">Příkon regulace/emise tepla: </t>
  </si>
  <si>
    <t xml:space="preserve">Příkon čerpadel vytápění: </t>
  </si>
  <si>
    <t xml:space="preserve">Parametr COP: </t>
  </si>
  <si>
    <t>tepelné čerpadlo</t>
  </si>
  <si>
    <t xml:space="preserve">Typ zdroje tepla: </t>
  </si>
  <si>
    <t xml:space="preserve"> (podíl 100,0 %)</t>
  </si>
  <si>
    <t>98,0 % / 98,0 %</t>
  </si>
  <si>
    <t xml:space="preserve">Účinnost sdílení/distribuce: </t>
  </si>
  <si>
    <t>ne</t>
  </si>
  <si>
    <t xml:space="preserve">Vytápění je zajištěno VZT: </t>
  </si>
  <si>
    <t>0,0 MJ/rok</t>
  </si>
  <si>
    <t xml:space="preserve">Zpětně získané teplo mimo VZT: </t>
  </si>
  <si>
    <t>· teplotní rozdíl pro ohřev: (50,0 - 10,0) C</t>
  </si>
  <si>
    <t xml:space="preserve"> </t>
  </si>
  <si>
    <t>· roční potřebu teplé vody: 59,9 m3</t>
  </si>
  <si>
    <t xml:space="preserve">....... odvozeno pro </t>
  </si>
  <si>
    <t>10015,28 MJ/rok</t>
  </si>
  <si>
    <t xml:space="preserve">Teplo na přípravu TV: </t>
  </si>
  <si>
    <t>· prům. účinnost osvětlení: 30 %</t>
  </si>
  <si>
    <t>· spotřebu energie na osvětlení: 3,0 kWh/(m2.a)</t>
  </si>
  <si>
    <t>· časový podíl produkce: 100+20 % (osoby+spotřebiče)</t>
  </si>
  <si>
    <t>· produkci tepla: 3,0+3,0 W/m2 (osoby+spotřebiče)</t>
  </si>
  <si>
    <t xml:space="preserve">....... odvozeny pro </t>
  </si>
  <si>
    <t>492 W</t>
  </si>
  <si>
    <t xml:space="preserve">Průměrné vnitřní zisky: </t>
  </si>
  <si>
    <t>165,0 kJ/(K.m2)</t>
  </si>
  <si>
    <t xml:space="preserve">Účinná vnitřní tepelná kapacita: </t>
  </si>
  <si>
    <t>448,88 m3 / 128,25 m2</t>
  </si>
  <si>
    <t xml:space="preserve">Geometrie (objem/podlah.pl.): </t>
  </si>
  <si>
    <t>HODNOCENÍ ZÓNY Č. 1 :</t>
  </si>
  <si>
    <t>HODNOCENÍ JEDNOTLIVÝCH ZÓN V OBJEKTU :</t>
  </si>
  <si>
    <t xml:space="preserve">-2,0 C </t>
  </si>
  <si>
    <t xml:space="preserve">12. měsíc </t>
  </si>
  <si>
    <t xml:space="preserve">2,6 C </t>
  </si>
  <si>
    <t xml:space="preserve">11. měsíc </t>
  </si>
  <si>
    <t xml:space="preserve">7,8 C </t>
  </si>
  <si>
    <t xml:space="preserve">10. měsíc </t>
  </si>
  <si>
    <t xml:space="preserve">12,6 C </t>
  </si>
  <si>
    <t xml:space="preserve">9. měsíc </t>
  </si>
  <si>
    <t xml:space="preserve">16,5 C </t>
  </si>
  <si>
    <t xml:space="preserve">8. měsíc </t>
  </si>
  <si>
    <t xml:space="preserve">17,1 C </t>
  </si>
  <si>
    <t xml:space="preserve">7. měsíc </t>
  </si>
  <si>
    <t xml:space="preserve">15,5 C </t>
  </si>
  <si>
    <t xml:space="preserve">6. měsíc </t>
  </si>
  <si>
    <t xml:space="preserve">12,7 C </t>
  </si>
  <si>
    <t xml:space="preserve">5. měsíc </t>
  </si>
  <si>
    <t xml:space="preserve">4. měsíc </t>
  </si>
  <si>
    <t xml:space="preserve">2,5 C </t>
  </si>
  <si>
    <t xml:space="preserve">3. měsíc </t>
  </si>
  <si>
    <t xml:space="preserve">-1,8 C </t>
  </si>
  <si>
    <t xml:space="preserve">2. měsíc </t>
  </si>
  <si>
    <t xml:space="preserve">-4,2 C </t>
  </si>
  <si>
    <t xml:space="preserve">1. měsíc </t>
  </si>
  <si>
    <t xml:space="preserve">JV </t>
  </si>
  <si>
    <t xml:space="preserve">SZ </t>
  </si>
  <si>
    <t xml:space="preserve">SV </t>
  </si>
  <si>
    <t xml:space="preserve">exteriéru </t>
  </si>
  <si>
    <t xml:space="preserve">dnů </t>
  </si>
  <si>
    <t xml:space="preserve">období </t>
  </si>
  <si>
    <t xml:space="preserve">  Celková energie globálního slunečního záření  [MJ/m2]</t>
  </si>
  <si>
    <t xml:space="preserve">Teplota </t>
  </si>
  <si>
    <t xml:space="preserve">Počet </t>
  </si>
  <si>
    <t xml:space="preserve">Název </t>
  </si>
  <si>
    <t xml:space="preserve">Západ </t>
  </si>
  <si>
    <t xml:space="preserve">Východ </t>
  </si>
  <si>
    <t xml:space="preserve">Jih </t>
  </si>
  <si>
    <t xml:space="preserve">Sever </t>
  </si>
  <si>
    <t>W/m2</t>
  </si>
  <si>
    <t>DS21</t>
  </si>
  <si>
    <t>DS15</t>
  </si>
  <si>
    <t>Okrajové podmínky výpočtu:</t>
  </si>
  <si>
    <t>měsíční (pro jednotlivé měsíce v roce)</t>
  </si>
  <si>
    <t xml:space="preserve">Typ výpočtu potřeby energie: </t>
  </si>
  <si>
    <t xml:space="preserve">Počet zón v objektu: </t>
  </si>
  <si>
    <t>KONTROLNÍ TISK VSTUPNÍCH DAT :</t>
  </si>
  <si>
    <t>Energie 2010</t>
  </si>
  <si>
    <t>a podle ČSN EN ISO 13790 a ČSN EN 832</t>
  </si>
  <si>
    <t>podle vyhlášky č. 148/2007 Sb. a ČSN 730540</t>
  </si>
  <si>
    <t>W jsou ostatní zisky</t>
  </si>
  <si>
    <t>Telgárt 906 m,n,m,</t>
  </si>
  <si>
    <t>Zadané období</t>
  </si>
  <si>
    <t>Normál 1961 - 1990 (Praha - Karlov)</t>
  </si>
  <si>
    <t>Denostupně D19,0</t>
  </si>
  <si>
    <t>Průměrná teplota</t>
  </si>
  <si>
    <t>[D , K]</t>
  </si>
  <si>
    <t>[dny]</t>
  </si>
  <si>
    <t>[°C]</t>
  </si>
  <si>
    <t>Přenést do výpočtu</t>
  </si>
  <si>
    <t>Potřeba tepla pro vytápění a ohřev teplé vody</t>
  </si>
  <si>
    <t>datum</t>
  </si>
  <si>
    <t>DK</t>
  </si>
  <si>
    <t>dny</t>
  </si>
  <si>
    <t>strbske pleso 1356 m,n,m,</t>
  </si>
  <si>
    <t>lomnicky stit 2635 m,n,m,</t>
  </si>
  <si>
    <t>Telgárt 906 m.n.m.</t>
  </si>
  <si>
    <t>Normál Karlov</t>
  </si>
  <si>
    <t>https://vytapeni.tzb-info.cz/tabulky-a-vypocty/103-vypocet-denostupnu</t>
  </si>
  <si>
    <t>st / m</t>
  </si>
  <si>
    <t>Strbske pleso 1356 m,n,m,</t>
  </si>
  <si>
    <t>Lomnicky stit 2635 m,n,m,</t>
  </si>
  <si>
    <t>Lomn-Strbs</t>
  </si>
  <si>
    <t>sumy:</t>
  </si>
  <si>
    <t>suma:</t>
  </si>
  <si>
    <t>poměr:</t>
  </si>
  <si>
    <t>podl</t>
  </si>
  <si>
    <t>obvod</t>
  </si>
  <si>
    <t>m2 okna</t>
  </si>
  <si>
    <t>strecha</t>
  </si>
  <si>
    <t>stena</t>
  </si>
  <si>
    <t>výška</t>
  </si>
  <si>
    <t>cop</t>
  </si>
  <si>
    <t>kWh voda</t>
  </si>
  <si>
    <t>kWh/den</t>
  </si>
  <si>
    <t>st</t>
  </si>
  <si>
    <t>litrů/den</t>
  </si>
  <si>
    <t>osvetleni</t>
  </si>
  <si>
    <t>elektr</t>
  </si>
  <si>
    <t>W</t>
  </si>
  <si>
    <t>zisky</t>
  </si>
  <si>
    <t>náklady:</t>
  </si>
  <si>
    <t>sluneční zisky</t>
  </si>
  <si>
    <t>průměrné výkony (W)</t>
  </si>
  <si>
    <t>elektr. Spotřebiče</t>
  </si>
  <si>
    <t>korekce:</t>
  </si>
  <si>
    <t>prenos</t>
  </si>
  <si>
    <t xml:space="preserve">https://forum.tzb-info.cz/149785-spotreba-plynu-rd-48-mwh-za-186-dni?idtext=17#text17 </t>
  </si>
  <si>
    <t>18 kW s patou 14,0°C je potřebný ekviterm za září- říjen 2020.</t>
  </si>
  <si>
    <t>kWh 2019/2020</t>
  </si>
  <si>
    <t>kWh 2020/2021</t>
  </si>
  <si>
    <t>ohřev TUV GJ</t>
  </si>
  <si>
    <t>v MWh</t>
  </si>
  <si>
    <t>tel 608 507 514</t>
  </si>
  <si>
    <t>Ing. Josef Vávra</t>
  </si>
  <si>
    <t xml:space="preserve">další info </t>
  </si>
  <si>
    <t>podíl FVE z celkové spotřeby</t>
  </si>
  <si>
    <t>CELKEM</t>
  </si>
  <si>
    <t>FVE</t>
  </si>
  <si>
    <t>bez ost</t>
  </si>
  <si>
    <t>z DS</t>
  </si>
  <si>
    <t>kW EE</t>
  </si>
  <si>
    <t>°C 250 m.n.m.</t>
  </si>
  <si>
    <t>měsíc</t>
  </si>
  <si>
    <t>Dřevostavba, přízemí s obytným podkrovím. Zastavěná plocha 114m2, stavba dokoncena 2009</t>
  </si>
  <si>
    <t>https://forum.tzb-info.cz/150360-lg-therma-v-9kw-tichy-monoblok</t>
  </si>
  <si>
    <t>vyplnit žluté!</t>
  </si>
  <si>
    <t>kW 30K</t>
  </si>
  <si>
    <t>zpracováno období čtvrt roku.   Od 4.12.18 do 19.2.19    Další je list TZ do 3 kW pan Tichý  Dřevostavba, přízemí s obytným podkrovím. Zastavěná plocha 114m2, stavba dokoncena 2009</t>
  </si>
  <si>
    <t>ekvit kW Kbely</t>
  </si>
  <si>
    <t>°C místni</t>
  </si>
  <si>
    <t>kW ost spotř.</t>
  </si>
  <si>
    <t>https://forum.tzb-info.cz/150772-solarni-system-na-dum-s-tc?p=557656</t>
  </si>
  <si>
    <t>https://kondenzace.kvalitne.cz/kks/spotreby.xlsx</t>
  </si>
  <si>
    <t>Směrnici 20 kW s patou 13°C drží i rok 21/22</t>
  </si>
  <si>
    <t>https://kondenzace.kvalitne.cz/kks/optimalizace-tc.xlsm</t>
  </si>
  <si>
    <t>https://kondenzace.kvalitne.cz/kks/optimalizace-vytapeni.xlsm</t>
  </si>
  <si>
    <t>výpočetní</t>
  </si>
  <si>
    <t>soubory:</t>
  </si>
  <si>
    <t>https://kondenzace.kvalitne.cz/kks/</t>
  </si>
  <si>
    <t>https://kondenzace.kvalitne.cz/kks/navrh-radiatoru-a-stoupacek.xlsx</t>
  </si>
  <si>
    <t xml:space="preserve">Vždy je vzata spotřeba plynu/elektřiny  za uplynulé období a teplota z dostupných dat, v tomto případě Praha, letiště Kbely 288 m.n.m , je vypočítána průměrná venkovní teplota za uplynulé období. </t>
  </si>
  <si>
    <t>Teplota se v různých částech republiky liší především vlivem nadmořské výšky o velikost -0,65 K na 100m výšky a -0,6 stupně 100 km severně</t>
  </si>
  <si>
    <t>a nakonec domy s výpočtovými TZ i 25 kW, kde se netopením na okrajovém schodišti (cca 25% plochy) dosahuje TZ 20 kW (Vávra)</t>
  </si>
  <si>
    <t>Další je řešen ve vláknu</t>
  </si>
  <si>
    <t>https://kondenzace.kvalitne.cz/kks/dny-bez-cyklovani.xlsx</t>
  </si>
  <si>
    <t>http://kondenzace.kvalitne.cz/kks/optimalizace-fve.xlsm</t>
  </si>
  <si>
    <t>ekviterm pata 11°C</t>
  </si>
  <si>
    <t>Od 1.4.22 zapojen Viadrus K4 - snížení spotřeby díky odpojení ztrát bojleru a především trubek k němu.</t>
  </si>
  <si>
    <t>suma plyn</t>
  </si>
  <si>
    <t>suma TZ</t>
  </si>
  <si>
    <t>Výrazně padla teplota ve sklepě - dopočítání později.</t>
  </si>
  <si>
    <t>real</t>
  </si>
  <si>
    <t>DS:</t>
  </si>
  <si>
    <t>65% je vytápění</t>
  </si>
  <si>
    <t>35% je teplá voda</t>
  </si>
  <si>
    <t>30.4.2021 asi tisková chyba 2°C</t>
  </si>
  <si>
    <t>suma TZ kWh</t>
  </si>
  <si>
    <t>suma plyn kWh</t>
  </si>
  <si>
    <t>dif kW</t>
  </si>
  <si>
    <t>Kw ztr mistni</t>
  </si>
  <si>
    <t>kW ztráty Kbely</t>
  </si>
  <si>
    <t>°C sajf</t>
  </si>
  <si>
    <t>https://forum.tzb-info.cz/152422-oprava-nebo-vymena-kotle-protherm-30-klz</t>
  </si>
  <si>
    <t>°C počátek vytápění</t>
  </si>
  <si>
    <t>úč.:</t>
  </si>
  <si>
    <t>kW ostatní zisky</t>
  </si>
  <si>
    <t>U=</t>
  </si>
  <si>
    <t>kW TZ dT 30K</t>
  </si>
  <si>
    <t>chyba meteostanice - ukazuje o 0,68 stupně víc.</t>
  </si>
  <si>
    <t>cca 7 lidí</t>
  </si>
  <si>
    <t>kW teplá voda</t>
  </si>
  <si>
    <t>prům °C</t>
  </si>
  <si>
    <t>dif míst</t>
  </si>
  <si>
    <t>m3 21/22</t>
  </si>
  <si>
    <t>m3 20/21</t>
  </si>
  <si>
    <t>m3 19/20</t>
  </si>
  <si>
    <t>https://forum.tzb-info.cz/150885-uz-dostal-nekdo-zpet-preplatek-za-ee-ci-plyn-od-bee-ci-sesterskych-spolecnosti?p=577076</t>
  </si>
  <si>
    <t>kWh z DS</t>
  </si>
  <si>
    <t>m3/rok realita</t>
  </si>
  <si>
    <t>m3/rok z tz</t>
  </si>
  <si>
    <t>Cca 200m^2 obytné plochy, taková protáhlá přízemní nudle.</t>
  </si>
  <si>
    <t>únor 22 - květen 22 jako 9 kW 14°C</t>
  </si>
  <si>
    <t>kk</t>
  </si>
  <si>
    <t>leden 22 jako 8 kW 14°C</t>
  </si>
  <si>
    <t>suma m3 z TZ</t>
  </si>
  <si>
    <t>rozdil</t>
  </si>
  <si>
    <t>°Ć</t>
  </si>
  <si>
    <t>leden21 - květen21 jako 8 kW 20°C</t>
  </si>
  <si>
    <t>https://forum.tzb-info.cz/152620-chytre-vytapeni-pomoci-plynoveho-kotle?p=577653</t>
  </si>
  <si>
    <t>https://forum.tzb-info.cz/152620-chytre-vytapeni-pomoci-plynoveho-kotle?p=577638</t>
  </si>
  <si>
    <t>řeší každodenní bilanci z dostupných dat.</t>
  </si>
  <si>
    <t>Verovice</t>
  </si>
  <si>
    <t>Novak</t>
  </si>
  <si>
    <t>spis</t>
  </si>
  <si>
    <t>PENB</t>
  </si>
  <si>
    <t>simral</t>
  </si>
  <si>
    <t>RR 21 kW</t>
  </si>
  <si>
    <t>vavra 20 kW</t>
  </si>
  <si>
    <t>homola</t>
  </si>
  <si>
    <t>sajf</t>
  </si>
  <si>
    <t>mikul</t>
  </si>
  <si>
    <t>kratky</t>
  </si>
  <si>
    <t>K4-55m2</t>
  </si>
  <si>
    <t>vicen</t>
  </si>
  <si>
    <t>Petr</t>
  </si>
  <si>
    <t>Radek</t>
  </si>
  <si>
    <t>14 panelaku</t>
  </si>
  <si>
    <t>step</t>
  </si>
  <si>
    <t>Kozik</t>
  </si>
  <si>
    <t>Struza</t>
  </si>
  <si>
    <t>13,5 kW nezat</t>
  </si>
  <si>
    <t>Oswald</t>
  </si>
  <si>
    <t>LG thermaV</t>
  </si>
  <si>
    <t>Adam N</t>
  </si>
  <si>
    <t>Ku</t>
  </si>
  <si>
    <t>venk tepl °C</t>
  </si>
  <si>
    <t>kW kompresor při -10°C</t>
  </si>
  <si>
    <t>dle normy zhoršuje SCOP asi o 9%</t>
  </si>
  <si>
    <t>kW kompresor při 15°C</t>
  </si>
  <si>
    <t>nízká účinnost cyklováním při malých průměrných výkonech</t>
  </si>
  <si>
    <t>stanovení směrnice COP: vychází 3,4 /0,09</t>
  </si>
  <si>
    <t>Výsledný SCOP</t>
  </si>
  <si>
    <t>příkon kompresoru kW:</t>
  </si>
  <si>
    <t>norma</t>
  </si>
  <si>
    <t>20/21 280 m.n.m.</t>
  </si>
  <si>
    <t>odchylky:</t>
  </si>
  <si>
    <t>[–]</t>
  </si>
  <si>
    <t>hodin</t>
  </si>
  <si>
    <t>s COP dc:</t>
  </si>
  <si>
    <t>součty hodin:</t>
  </si>
  <si>
    <t>hodiny norma</t>
  </si>
  <si>
    <t>hodiny 2020/21</t>
  </si>
  <si>
    <t>[kW]</t>
  </si>
  <si>
    <t>[˚C]</t>
  </si>
  <si>
    <t>[kWh]</t>
  </si>
  <si>
    <t>[kWh/h]</t>
  </si>
  <si>
    <t>Celková spotřeba el. en.</t>
  </si>
  <si>
    <t>Celková roční potřeba tepla</t>
  </si>
  <si>
    <t>Celková spotřeba el. en. za hodinu.</t>
  </si>
  <si>
    <r>
      <t>COP</t>
    </r>
    <r>
      <rPr>
        <b/>
        <vertAlign val="subscript"/>
        <sz val="11"/>
        <color theme="1"/>
        <rFont val="Calibri"/>
        <family val="2"/>
        <charset val="238"/>
        <scheme val="minor"/>
      </rPr>
      <t>pl</t>
    </r>
  </si>
  <si>
    <r>
      <t>COP</t>
    </r>
    <r>
      <rPr>
        <b/>
        <vertAlign val="subscript"/>
        <sz val="11"/>
        <color theme="1"/>
        <rFont val="Calibri"/>
        <family val="2"/>
        <charset val="238"/>
        <scheme val="minor"/>
      </rPr>
      <t>DC</t>
    </r>
  </si>
  <si>
    <t>CR</t>
  </si>
  <si>
    <t>Elektrický dohřev</t>
  </si>
  <si>
    <t>Výkon tepelného čerpadla</t>
  </si>
  <si>
    <t>Tepelná ztráta</t>
  </si>
  <si>
    <t>Počet hodin</t>
  </si>
  <si>
    <t>Venkovní teplota</t>
  </si>
  <si>
    <r>
      <t xml:space="preserve">Tab. 2 – Určení </t>
    </r>
    <r>
      <rPr>
        <i/>
        <sz val="11"/>
        <color theme="1"/>
        <rFont val="Calibri"/>
        <family val="2"/>
        <charset val="238"/>
        <scheme val="minor"/>
      </rPr>
      <t>SCOP</t>
    </r>
    <r>
      <rPr>
        <vertAlign val="subscript"/>
        <sz val="11"/>
        <color theme="1"/>
        <rFont val="Calibri"/>
        <family val="2"/>
        <charset val="238"/>
        <scheme val="minor"/>
      </rPr>
      <t>on</t>
    </r>
    <r>
      <rPr>
        <sz val="11"/>
        <color theme="1"/>
        <rFont val="Calibri"/>
        <family val="2"/>
        <charset val="238"/>
        <scheme val="minor"/>
      </rPr>
      <t xml:space="preserve"> pro střední klimatické podmínky tepelného čerpadla vzduch-voda</t>
    </r>
  </si>
  <si>
    <t>TZ12 kW/30K, pata 15°C a TČ 3,4/0,09 SCOP 3,2 Uvažováno konstantní topení 35°C kompresor 3 kW</t>
  </si>
  <si>
    <t>https://vytapeni.tzb-info.cz/tepelna-cerpadla/13507-hodnoceni-scop-tepelnych-cerpadel-pro-vytapeni</t>
  </si>
</sst>
</file>

<file path=xl/styles.xml><?xml version="1.0" encoding="utf-8"?>
<styleSheet xmlns="http://schemas.openxmlformats.org/spreadsheetml/2006/main">
  <numFmts count="9">
    <numFmt numFmtId="8" formatCode="#,##0.00\ &quot;Kč&quot;;[Red]\-#,##0.00\ &quot;Kč&quot;"/>
    <numFmt numFmtId="164" formatCode="d/m/yy\ h:mm;@"/>
    <numFmt numFmtId="165" formatCode="dd/mm/yy\ hh:mm"/>
    <numFmt numFmtId="166" formatCode="dd/mm/yy;@"/>
    <numFmt numFmtId="167" formatCode="0.0"/>
    <numFmt numFmtId="168" formatCode="[$-405]mmm\-yy;@"/>
    <numFmt numFmtId="169" formatCode="#,##0&quot; m3&quot;"/>
    <numFmt numFmtId="170" formatCode="#,##0.000"/>
    <numFmt numFmtId="171" formatCode="d/m/yy;@"/>
  </numFmts>
  <fonts count="65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u/>
      <sz val="8.8000000000000007"/>
      <color theme="10"/>
      <name val="Calibri"/>
      <family val="2"/>
      <charset val="238"/>
    </font>
    <font>
      <sz val="10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9" tint="-0.249977111117893"/>
      <name val="Calibri"/>
      <family val="2"/>
      <charset val="238"/>
      <scheme val="minor"/>
    </font>
    <font>
      <sz val="11"/>
      <color theme="5" tint="-0.249977111117893"/>
      <name val="Calibri"/>
      <family val="2"/>
      <charset val="238"/>
      <scheme val="minor"/>
    </font>
    <font>
      <sz val="11"/>
      <color rgb="FF00B050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u/>
      <sz val="12.1"/>
      <color theme="10"/>
      <name val="Calibri"/>
      <family val="2"/>
      <charset val="238"/>
    </font>
    <font>
      <sz val="12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7"/>
      <color theme="1"/>
      <name val="Arial"/>
      <family val="2"/>
      <charset val="238"/>
    </font>
    <font>
      <b/>
      <u/>
      <sz val="10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i/>
      <u/>
      <sz val="10"/>
      <color theme="1"/>
      <name val="Arial"/>
      <family val="2"/>
      <charset val="238"/>
    </font>
    <font>
      <b/>
      <i/>
      <u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3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u/>
      <sz val="9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u/>
      <sz val="9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i/>
      <sz val="2"/>
      <color theme="1"/>
      <name val="Arial"/>
      <family val="2"/>
      <charset val="238"/>
    </font>
    <font>
      <i/>
      <sz val="3"/>
      <color theme="1"/>
      <name val="Arial"/>
      <family val="2"/>
      <charset val="238"/>
    </font>
    <font>
      <i/>
      <u/>
      <sz val="9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5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0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10"/>
      <color rgb="FF000000"/>
      <name val="Times New Roman"/>
      <family val="1"/>
      <charset val="238"/>
    </font>
    <font>
      <u/>
      <sz val="10"/>
      <color theme="10"/>
      <name val="Times New Roman"/>
      <family val="1"/>
      <charset val="238"/>
    </font>
    <font>
      <b/>
      <i/>
      <sz val="11"/>
      <color theme="1"/>
      <name val="Calibri"/>
      <family val="2"/>
      <charset val="238"/>
      <scheme val="minor"/>
    </font>
    <font>
      <b/>
      <vertAlign val="subscript"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37">
    <xf numFmtId="0" fontId="0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4" applyNumberFormat="0" applyAlignment="0" applyProtection="0"/>
    <xf numFmtId="0" fontId="13" fillId="7" borderId="5" applyNumberFormat="0" applyAlignment="0" applyProtection="0"/>
    <xf numFmtId="0" fontId="14" fillId="7" borderId="4" applyNumberFormat="0" applyAlignment="0" applyProtection="0"/>
    <xf numFmtId="0" fontId="15" fillId="0" borderId="6" applyNumberFormat="0" applyFill="0" applyAlignment="0" applyProtection="0"/>
    <xf numFmtId="0" fontId="16" fillId="8" borderId="7" applyNumberFormat="0" applyAlignment="0" applyProtection="0"/>
    <xf numFmtId="0" fontId="17" fillId="0" borderId="0" applyNumberFormat="0" applyFill="0" applyBorder="0" applyAlignment="0" applyProtection="0"/>
    <xf numFmtId="0" fontId="2" fillId="9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33" borderId="0" applyNumberFormat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9" borderId="8" applyNumberFormat="0" applyFont="0" applyAlignment="0" applyProtection="0"/>
    <xf numFmtId="0" fontId="22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9" borderId="8" applyNumberFormat="0" applyFont="0" applyAlignment="0" applyProtection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9" borderId="8" applyNumberFormat="0" applyFont="0" applyAlignment="0" applyProtection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0" fontId="3" fillId="0" borderId="0" applyNumberFormat="0" applyFont="0" applyFill="0" applyBorder="0" applyAlignment="0" applyProtection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0" fontId="2" fillId="9" borderId="8" applyNumberFormat="0" applyFont="0" applyAlignment="0" applyProtection="0"/>
    <xf numFmtId="0" fontId="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60" fillId="0" borderId="0" applyNumberFormat="0" applyFill="0" applyBorder="0" applyAlignment="0" applyProtection="0"/>
    <xf numFmtId="0" fontId="28" fillId="0" borderId="0"/>
  </cellStyleXfs>
  <cellXfs count="215">
    <xf numFmtId="0" fontId="0" fillId="0" borderId="0" xfId="0"/>
    <xf numFmtId="164" fontId="0" fillId="0" borderId="0" xfId="0" applyNumberFormat="1"/>
    <xf numFmtId="0" fontId="0" fillId="2" borderId="0" xfId="0" applyFill="1"/>
    <xf numFmtId="0" fontId="1" fillId="2" borderId="0" xfId="0" applyFont="1" applyFill="1"/>
    <xf numFmtId="0" fontId="0" fillId="0" borderId="0" xfId="0"/>
    <xf numFmtId="0" fontId="0" fillId="0" borderId="0" xfId="0"/>
    <xf numFmtId="164" fontId="0" fillId="0" borderId="0" xfId="0" applyNumberFormat="1"/>
    <xf numFmtId="0" fontId="0" fillId="0" borderId="0" xfId="0" applyNumberFormat="1"/>
    <xf numFmtId="164" fontId="0" fillId="0" borderId="0" xfId="0" applyNumberFormat="1"/>
    <xf numFmtId="164" fontId="3" fillId="0" borderId="0" xfId="15" applyNumberFormat="1"/>
    <xf numFmtId="0" fontId="3" fillId="0" borderId="0" xfId="20"/>
    <xf numFmtId="0" fontId="0" fillId="0" borderId="0" xfId="0"/>
    <xf numFmtId="164" fontId="0" fillId="0" borderId="0" xfId="0" applyNumberFormat="1"/>
    <xf numFmtId="0" fontId="0" fillId="0" borderId="0" xfId="0" applyNumberFormat="1"/>
    <xf numFmtId="164" fontId="3" fillId="0" borderId="0" xfId="15" applyNumberFormat="1"/>
    <xf numFmtId="164" fontId="3" fillId="0" borderId="0" xfId="22" applyNumberFormat="1"/>
    <xf numFmtId="0" fontId="3" fillId="0" borderId="0" xfId="25"/>
    <xf numFmtId="166" fontId="0" fillId="0" borderId="0" xfId="0" applyNumberFormat="1"/>
    <xf numFmtId="166" fontId="3" fillId="0" borderId="0" xfId="15" applyNumberFormat="1"/>
    <xf numFmtId="0" fontId="20" fillId="0" borderId="0" xfId="68" applyAlignment="1" applyProtection="1"/>
    <xf numFmtId="0" fontId="0" fillId="0" borderId="0" xfId="0"/>
    <xf numFmtId="165" fontId="3" fillId="0" borderId="0" xfId="71" applyNumberFormat="1"/>
    <xf numFmtId="0" fontId="3" fillId="0" borderId="0" xfId="71"/>
    <xf numFmtId="22" fontId="2" fillId="0" borderId="0" xfId="72" applyNumberFormat="1"/>
    <xf numFmtId="0" fontId="3" fillId="0" borderId="0" xfId="71" applyBorder="1"/>
    <xf numFmtId="0" fontId="2" fillId="0" borderId="0" xfId="72" applyBorder="1"/>
    <xf numFmtId="166" fontId="3" fillId="0" borderId="0" xfId="22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/>
    <xf numFmtId="0" fontId="0" fillId="2" borderId="0" xfId="0" applyNumberFormat="1" applyFill="1"/>
    <xf numFmtId="0" fontId="0" fillId="0" borderId="0" xfId="0"/>
    <xf numFmtId="0" fontId="0" fillId="0" borderId="0" xfId="0"/>
    <xf numFmtId="17" fontId="0" fillId="0" borderId="0" xfId="0" applyNumberFormat="1"/>
    <xf numFmtId="0" fontId="0" fillId="34" borderId="0" xfId="0" applyFill="1"/>
    <xf numFmtId="0" fontId="0" fillId="0" borderId="0" xfId="0" applyFill="1" applyBorder="1"/>
    <xf numFmtId="0" fontId="1" fillId="0" borderId="0" xfId="0" applyFon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0" fontId="0" fillId="0" borderId="0" xfId="0"/>
    <xf numFmtId="0" fontId="0" fillId="0" borderId="10" xfId="0" applyBorder="1"/>
    <xf numFmtId="14" fontId="1" fillId="0" borderId="0" xfId="0" applyNumberFormat="1" applyFont="1"/>
    <xf numFmtId="0" fontId="0" fillId="0" borderId="0" xfId="0"/>
    <xf numFmtId="1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82"/>
    <xf numFmtId="22" fontId="2" fillId="0" borderId="0" xfId="82" applyNumberFormat="1"/>
    <xf numFmtId="0" fontId="2" fillId="0" borderId="0" xfId="79"/>
    <xf numFmtId="22" fontId="2" fillId="0" borderId="0" xfId="79" applyNumberFormat="1"/>
    <xf numFmtId="0" fontId="22" fillId="0" borderId="0" xfId="89" applyNumberFormat="1" applyFont="1" applyFill="1" applyBorder="1" applyAlignment="1"/>
    <xf numFmtId="14" fontId="22" fillId="0" borderId="0" xfId="89" applyNumberFormat="1"/>
    <xf numFmtId="0" fontId="3" fillId="0" borderId="0" xfId="89" applyNumberFormat="1" applyFont="1" applyFill="1" applyBorder="1" applyAlignment="1"/>
    <xf numFmtId="14" fontId="22" fillId="0" borderId="0" xfId="89" applyNumberFormat="1" applyFont="1" applyFill="1" applyBorder="1" applyAlignment="1"/>
    <xf numFmtId="10" fontId="22" fillId="0" borderId="0" xfId="89" applyNumberFormat="1" applyFont="1" applyFill="1" applyBorder="1" applyAlignment="1"/>
    <xf numFmtId="0" fontId="2" fillId="0" borderId="0" xfId="90"/>
    <xf numFmtId="0" fontId="1" fillId="0" borderId="0" xfId="90" applyFont="1"/>
    <xf numFmtId="0" fontId="22" fillId="2" borderId="0" xfId="89" applyNumberFormat="1" applyFont="1" applyFill="1" applyBorder="1" applyAlignment="1"/>
    <xf numFmtId="0" fontId="20" fillId="0" borderId="0" xfId="68" applyNumberFormat="1" applyFill="1" applyBorder="1" applyAlignment="1" applyProtection="1"/>
    <xf numFmtId="167" fontId="2" fillId="0" borderId="0" xfId="90" applyNumberFormat="1"/>
    <xf numFmtId="16" fontId="0" fillId="0" borderId="0" xfId="0" applyNumberFormat="1"/>
    <xf numFmtId="0" fontId="2" fillId="0" borderId="0" xfId="93"/>
    <xf numFmtId="22" fontId="2" fillId="0" borderId="0" xfId="93" applyNumberFormat="1"/>
    <xf numFmtId="168" fontId="0" fillId="0" borderId="0" xfId="0" applyNumberFormat="1"/>
    <xf numFmtId="0" fontId="0" fillId="0" borderId="0" xfId="0"/>
    <xf numFmtId="0" fontId="1" fillId="0" borderId="0" xfId="0" applyFont="1"/>
    <xf numFmtId="0" fontId="20" fillId="0" borderId="0" xfId="68" applyAlignment="1" applyProtection="1"/>
    <xf numFmtId="0" fontId="0" fillId="0" borderId="0" xfId="0"/>
    <xf numFmtId="14" fontId="0" fillId="0" borderId="0" xfId="0" applyNumberFormat="1"/>
    <xf numFmtId="0" fontId="0" fillId="2" borderId="11" xfId="0" applyFill="1" applyBorder="1"/>
    <xf numFmtId="0" fontId="0" fillId="2" borderId="12" xfId="0" applyFill="1" applyBorder="1"/>
    <xf numFmtId="4" fontId="0" fillId="0" borderId="0" xfId="0" applyNumberFormat="1"/>
    <xf numFmtId="0" fontId="0" fillId="0" borderId="0" xfId="0" applyFont="1"/>
    <xf numFmtId="8" fontId="0" fillId="0" borderId="0" xfId="0" applyNumberFormat="1"/>
    <xf numFmtId="0" fontId="0" fillId="0" borderId="0" xfId="0" applyNumberFormat="1" applyFill="1" applyBorder="1"/>
    <xf numFmtId="169" fontId="0" fillId="0" borderId="0" xfId="0" applyNumberFormat="1"/>
    <xf numFmtId="169" fontId="0" fillId="0" borderId="13" xfId="0" applyNumberFormat="1" applyBorder="1"/>
    <xf numFmtId="169" fontId="0" fillId="0" borderId="14" xfId="0" applyNumberFormat="1" applyFill="1" applyBorder="1"/>
    <xf numFmtId="169" fontId="0" fillId="0" borderId="15" xfId="0" applyNumberFormat="1" applyBorder="1"/>
    <xf numFmtId="169" fontId="0" fillId="0" borderId="16" xfId="0" applyNumberFormat="1" applyBorder="1"/>
    <xf numFmtId="169" fontId="0" fillId="0" borderId="17" xfId="0" applyNumberFormat="1" applyBorder="1"/>
    <xf numFmtId="169" fontId="0" fillId="0" borderId="18" xfId="0" applyNumberFormat="1" applyBorder="1"/>
    <xf numFmtId="169" fontId="0" fillId="0" borderId="19" xfId="0" applyNumberFormat="1" applyBorder="1"/>
    <xf numFmtId="0" fontId="23" fillId="0" borderId="0" xfId="98"/>
    <xf numFmtId="0" fontId="0" fillId="2" borderId="10" xfId="0" applyFill="1" applyBorder="1"/>
    <xf numFmtId="0" fontId="0" fillId="2" borderId="20" xfId="0" applyFill="1" applyBorder="1"/>
    <xf numFmtId="0" fontId="0" fillId="2" borderId="21" xfId="0" applyFill="1" applyBorder="1"/>
    <xf numFmtId="0" fontId="0" fillId="2" borderId="22" xfId="0" applyFill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1" fillId="0" borderId="0" xfId="0" applyFont="1"/>
    <xf numFmtId="164" fontId="3" fillId="0" borderId="0" xfId="99" applyNumberFormat="1"/>
    <xf numFmtId="0" fontId="3" fillId="0" borderId="0" xfId="118"/>
    <xf numFmtId="0" fontId="2" fillId="0" borderId="0" xfId="137"/>
    <xf numFmtId="0" fontId="0" fillId="0" borderId="0" xfId="0"/>
    <xf numFmtId="0" fontId="0" fillId="0" borderId="0" xfId="0" applyBorder="1"/>
    <xf numFmtId="0" fontId="17" fillId="0" borderId="0" xfId="0" applyFont="1" applyBorder="1"/>
    <xf numFmtId="0" fontId="0" fillId="0" borderId="0" xfId="0"/>
    <xf numFmtId="0" fontId="0" fillId="0" borderId="24" xfId="0" applyBorder="1"/>
    <xf numFmtId="0" fontId="17" fillId="0" borderId="23" xfId="0" applyFont="1" applyBorder="1"/>
    <xf numFmtId="49" fontId="0" fillId="0" borderId="0" xfId="0" applyNumberFormat="1" applyAlignment="1">
      <alignment wrapText="1"/>
    </xf>
    <xf numFmtId="4" fontId="24" fillId="0" borderId="0" xfId="0" applyNumberFormat="1" applyFont="1"/>
    <xf numFmtId="0" fontId="0" fillId="0" borderId="25" xfId="0" applyBorder="1"/>
    <xf numFmtId="4" fontId="17" fillId="0" borderId="0" xfId="0" applyNumberFormat="1" applyFont="1"/>
    <xf numFmtId="2" fontId="0" fillId="0" borderId="0" xfId="0" applyNumberFormat="1"/>
    <xf numFmtId="4" fontId="25" fillId="0" borderId="0" xfId="0" applyNumberFormat="1" applyFont="1"/>
    <xf numFmtId="4" fontId="26" fillId="0" borderId="0" xfId="0" applyNumberFormat="1" applyFont="1"/>
    <xf numFmtId="0" fontId="17" fillId="0" borderId="0" xfId="0" applyFont="1"/>
    <xf numFmtId="170" fontId="0" fillId="0" borderId="0" xfId="0" applyNumberFormat="1"/>
    <xf numFmtId="20" fontId="0" fillId="0" borderId="0" xfId="0" applyNumberFormat="1" applyAlignment="1">
      <alignment horizontal="center" vertical="center"/>
    </xf>
    <xf numFmtId="0" fontId="28" fillId="0" borderId="0" xfId="149" applyFill="1" applyBorder="1" applyAlignment="1">
      <alignment horizontal="left" vertical="top"/>
    </xf>
    <xf numFmtId="4" fontId="28" fillId="0" borderId="0" xfId="149" applyNumberFormat="1" applyFill="1" applyBorder="1" applyAlignment="1">
      <alignment horizontal="left" vertical="top"/>
    </xf>
    <xf numFmtId="0" fontId="2" fillId="0" borderId="0" xfId="6"/>
    <xf numFmtId="0" fontId="2" fillId="0" borderId="0" xfId="150"/>
    <xf numFmtId="0" fontId="2" fillId="0" borderId="0" xfId="9"/>
    <xf numFmtId="0" fontId="28" fillId="2" borderId="0" xfId="149" applyFill="1" applyBorder="1" applyAlignment="1">
      <alignment horizontal="left" vertical="top"/>
    </xf>
    <xf numFmtId="0" fontId="29" fillId="0" borderId="0" xfId="149" applyFont="1" applyFill="1" applyBorder="1" applyAlignment="1">
      <alignment horizontal="left" vertical="top"/>
    </xf>
    <xf numFmtId="0" fontId="28" fillId="0" borderId="0" xfId="149" applyFill="1" applyBorder="1" applyAlignment="1">
      <alignment horizontal="left" vertical="top"/>
    </xf>
    <xf numFmtId="0" fontId="0" fillId="0" borderId="0" xfId="0"/>
    <xf numFmtId="10" fontId="0" fillId="0" borderId="0" xfId="0" applyNumberFormat="1"/>
    <xf numFmtId="0" fontId="20" fillId="0" borderId="0" xfId="68" applyFill="1" applyBorder="1" applyAlignment="1" applyProtection="1">
      <alignment horizontal="left" vertical="top"/>
    </xf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  <xf numFmtId="0" fontId="1" fillId="0" borderId="0" xfId="0" applyFont="1" applyAlignment="1">
      <alignment horizontal="center"/>
    </xf>
    <xf numFmtId="0" fontId="20" fillId="0" borderId="0" xfId="68" applyAlignment="1" applyProtection="1"/>
    <xf numFmtId="0" fontId="0" fillId="0" borderId="26" xfId="0" applyBorder="1"/>
    <xf numFmtId="0" fontId="0" fillId="0" borderId="10" xfId="0" applyBorder="1"/>
    <xf numFmtId="0" fontId="0" fillId="0" borderId="25" xfId="0" applyBorder="1"/>
    <xf numFmtId="0" fontId="0" fillId="2" borderId="0" xfId="0" applyFill="1" applyAlignment="1">
      <alignment horizontal="center"/>
    </xf>
    <xf numFmtId="0" fontId="0" fillId="34" borderId="0" xfId="0" applyFill="1"/>
    <xf numFmtId="0" fontId="0" fillId="0" borderId="0" xfId="0" applyNumberFormat="1"/>
    <xf numFmtId="1" fontId="0" fillId="0" borderId="18" xfId="0" applyNumberFormat="1" applyBorder="1"/>
    <xf numFmtId="1" fontId="0" fillId="0" borderId="0" xfId="0" applyNumberFormat="1"/>
    <xf numFmtId="0" fontId="0" fillId="0" borderId="18" xfId="0" applyBorder="1"/>
    <xf numFmtId="0" fontId="0" fillId="0" borderId="27" xfId="0" applyFill="1" applyBorder="1"/>
    <xf numFmtId="0" fontId="0" fillId="34" borderId="18" xfId="0" applyFill="1" applyBorder="1"/>
    <xf numFmtId="0" fontId="30" fillId="0" borderId="0" xfId="233" applyAlignment="1" applyProtection="1"/>
    <xf numFmtId="0" fontId="0" fillId="0" borderId="0" xfId="0" applyFill="1" applyBorder="1" applyAlignment="1">
      <alignment horizontal="left" vertical="top"/>
    </xf>
    <xf numFmtId="17" fontId="0" fillId="0" borderId="0" xfId="0" applyNumberFormat="1" applyFill="1" applyBorder="1" applyAlignment="1">
      <alignment horizontal="left" vertical="top"/>
    </xf>
    <xf numFmtId="171" fontId="0" fillId="0" borderId="0" xfId="0" applyNumberFormat="1" applyFill="1" applyBorder="1"/>
    <xf numFmtId="171" fontId="0" fillId="0" borderId="0" xfId="0" applyNumberForma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0" applyFont="1"/>
    <xf numFmtId="0" fontId="39" fillId="0" borderId="0" xfId="0" applyFont="1"/>
    <xf numFmtId="0" fontId="40" fillId="0" borderId="0" xfId="0" applyFont="1"/>
    <xf numFmtId="10" fontId="35" fillId="0" borderId="0" xfId="0" applyNumberFormat="1" applyFont="1"/>
    <xf numFmtId="0" fontId="41" fillId="0" borderId="0" xfId="0" applyFont="1"/>
    <xf numFmtId="10" fontId="42" fillId="0" borderId="0" xfId="0" applyNumberFormat="1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50" fillId="0" borderId="0" xfId="0" applyFont="1"/>
    <xf numFmtId="0" fontId="51" fillId="0" borderId="0" xfId="0" applyFont="1"/>
    <xf numFmtId="0" fontId="52" fillId="0" borderId="0" xfId="0" applyFont="1"/>
    <xf numFmtId="14" fontId="35" fillId="0" borderId="0" xfId="0" applyNumberFormat="1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20" fillId="0" borderId="0" xfId="68" applyNumberFormat="1" applyAlignment="1" applyProtection="1"/>
    <xf numFmtId="9" fontId="0" fillId="0" borderId="0" xfId="0" applyNumberFormat="1"/>
    <xf numFmtId="164" fontId="57" fillId="0" borderId="0" xfId="0" applyNumberFormat="1" applyFont="1"/>
    <xf numFmtId="165" fontId="0" fillId="0" borderId="0" xfId="0" applyNumberFormat="1"/>
    <xf numFmtId="0" fontId="57" fillId="0" borderId="0" xfId="0" applyFont="1"/>
    <xf numFmtId="0" fontId="58" fillId="0" borderId="0" xfId="0" applyFont="1"/>
    <xf numFmtId="0" fontId="59" fillId="0" borderId="0" xfId="234" applyAlignment="1">
      <alignment horizontal="left" vertical="top"/>
    </xf>
    <xf numFmtId="166" fontId="59" fillId="0" borderId="0" xfId="234" applyNumberFormat="1" applyAlignment="1">
      <alignment horizontal="left" vertical="top"/>
    </xf>
    <xf numFmtId="0" fontId="59" fillId="0" borderId="0" xfId="234"/>
    <xf numFmtId="0" fontId="29" fillId="0" borderId="0" xfId="234" applyFont="1" applyAlignment="1">
      <alignment horizontal="left" vertical="top"/>
    </xf>
    <xf numFmtId="0" fontId="28" fillId="0" borderId="0" xfId="234" applyFont="1" applyAlignment="1">
      <alignment horizontal="left" vertical="top"/>
    </xf>
    <xf numFmtId="0" fontId="59" fillId="2" borderId="0" xfId="234" applyFill="1"/>
    <xf numFmtId="0" fontId="60" fillId="0" borderId="0" xfId="235" applyFill="1" applyBorder="1" applyAlignment="1">
      <alignment horizontal="left" vertical="top"/>
    </xf>
    <xf numFmtId="0" fontId="2" fillId="0" borderId="0" xfId="119"/>
    <xf numFmtId="0" fontId="0" fillId="0" borderId="0" xfId="0" applyFill="1" applyBorder="1" applyAlignment="1">
      <alignment wrapText="1"/>
    </xf>
    <xf numFmtId="0" fontId="0" fillId="2" borderId="0" xfId="0" applyFill="1" applyBorder="1" applyAlignment="1">
      <alignment wrapText="1"/>
    </xf>
    <xf numFmtId="0" fontId="0" fillId="0" borderId="28" xfId="0" applyBorder="1" applyAlignment="1">
      <alignment wrapText="1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61" fillId="0" borderId="31" xfId="0" applyFont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0" fillId="0" borderId="32" xfId="0" applyBorder="1"/>
  </cellXfs>
  <cellStyles count="237">
    <cellStyle name="20 % – Zvýraznění1" xfId="45" builtinId="30" customBuiltin="1"/>
    <cellStyle name="20 % – Zvýraznění1 2" xfId="151"/>
    <cellStyle name="20 % – Zvýraznění1 2 2" xfId="171"/>
    <cellStyle name="20 % – Zvýraznění2" xfId="49" builtinId="34" customBuiltin="1"/>
    <cellStyle name="20 % – Zvýraznění2 2" xfId="152"/>
    <cellStyle name="20 % – Zvýraznění2 2 2" xfId="172"/>
    <cellStyle name="20 % – Zvýraznění3" xfId="53" builtinId="38" customBuiltin="1"/>
    <cellStyle name="20 % – Zvýraznění3 2" xfId="153"/>
    <cellStyle name="20 % – Zvýraznění3 2 2" xfId="173"/>
    <cellStyle name="20 % – Zvýraznění4" xfId="57" builtinId="42" customBuiltin="1"/>
    <cellStyle name="20 % – Zvýraznění4 2" xfId="154"/>
    <cellStyle name="20 % – Zvýraznění4 2 2" xfId="174"/>
    <cellStyle name="20 % – Zvýraznění5" xfId="61" builtinId="46" customBuiltin="1"/>
    <cellStyle name="20 % – Zvýraznění5 2" xfId="155"/>
    <cellStyle name="20 % – Zvýraznění5 2 2" xfId="175"/>
    <cellStyle name="20 % – Zvýraznění6" xfId="65" builtinId="50" customBuiltin="1"/>
    <cellStyle name="20 % – Zvýraznění6 2" xfId="156"/>
    <cellStyle name="20 % – Zvýraznění6 2 2" xfId="176"/>
    <cellStyle name="40 % – Zvýraznění1" xfId="46" builtinId="31" customBuiltin="1"/>
    <cellStyle name="40 % – Zvýraznění1 2" xfId="157"/>
    <cellStyle name="40 % – Zvýraznění1 2 2" xfId="177"/>
    <cellStyle name="40 % – Zvýraznění2" xfId="50" builtinId="35" customBuiltin="1"/>
    <cellStyle name="40 % – Zvýraznění2 2" xfId="158"/>
    <cellStyle name="40 % – Zvýraznění2 2 2" xfId="178"/>
    <cellStyle name="40 % – Zvýraznění3" xfId="54" builtinId="39" customBuiltin="1"/>
    <cellStyle name="40 % – Zvýraznění3 2" xfId="159"/>
    <cellStyle name="40 % – Zvýraznění3 2 2" xfId="179"/>
    <cellStyle name="40 % – Zvýraznění4" xfId="58" builtinId="43" customBuiltin="1"/>
    <cellStyle name="40 % – Zvýraznění4 2" xfId="160"/>
    <cellStyle name="40 % – Zvýraznění4 2 2" xfId="180"/>
    <cellStyle name="40 % – Zvýraznění5" xfId="62" builtinId="47" customBuiltin="1"/>
    <cellStyle name="40 % – Zvýraznění5 2" xfId="161"/>
    <cellStyle name="40 % – Zvýraznění5 2 2" xfId="181"/>
    <cellStyle name="40 % – Zvýraznění6" xfId="66" builtinId="51" customBuiltin="1"/>
    <cellStyle name="40 % – Zvýraznění6 2" xfId="162"/>
    <cellStyle name="40 % – Zvýraznění6 2 2" xfId="182"/>
    <cellStyle name="60 % – Zvýraznění1" xfId="47" builtinId="32" customBuiltin="1"/>
    <cellStyle name="60 % – Zvýraznění2" xfId="51" builtinId="36" customBuiltin="1"/>
    <cellStyle name="60 % – Zvýraznění3" xfId="55" builtinId="40" customBuiltin="1"/>
    <cellStyle name="60 % – Zvýraznění4" xfId="59" builtinId="44" customBuiltin="1"/>
    <cellStyle name="60 % – Zvýraznění5" xfId="63" builtinId="48" customBuiltin="1"/>
    <cellStyle name="60 % – Zvýraznění6" xfId="67" builtinId="52" customBuiltin="1"/>
    <cellStyle name="Celkem" xfId="43" builtinId="25" customBuiltin="1"/>
    <cellStyle name="Excel Built-in normální 2" xfId="1"/>
    <cellStyle name="Excel Built-in normální 2 2" xfId="2"/>
    <cellStyle name="Excel Built-in normální 3" xfId="3"/>
    <cellStyle name="Excel Built-in normální 3 2" xfId="4"/>
    <cellStyle name="Excel Built-in normální 4" xfId="5"/>
    <cellStyle name="Hypertextový odkaz" xfId="68" builtinId="8"/>
    <cellStyle name="Hypertextový odkaz 2" xfId="74"/>
    <cellStyle name="Hypertextový odkaz 2 2" xfId="143"/>
    <cellStyle name="Hypertextový odkaz 2 3" xfId="144"/>
    <cellStyle name="Hypertextový odkaz 2 4" xfId="145"/>
    <cellStyle name="Hypertextový odkaz 2 5" xfId="146"/>
    <cellStyle name="Hypertextový odkaz 2 6" xfId="147"/>
    <cellStyle name="Hypertextový odkaz 2 7" xfId="148"/>
    <cellStyle name="Hypertextový odkaz 3" xfId="98"/>
    <cellStyle name="Hypertextový odkaz 4" xfId="233"/>
    <cellStyle name="Hypertextový odkaz 5" xfId="235"/>
    <cellStyle name="Chybně" xfId="33" builtinId="27" customBuiltin="1"/>
    <cellStyle name="Kontrolní buňka" xfId="39" builtinId="23" customBuiltin="1"/>
    <cellStyle name="Nadpis 1" xfId="28" builtinId="16" customBuiltin="1"/>
    <cellStyle name="Nadpis 2" xfId="29" builtinId="17" customBuiltin="1"/>
    <cellStyle name="Nadpis 3" xfId="30" builtinId="18" customBuiltin="1"/>
    <cellStyle name="Nadpis 4" xfId="31" builtinId="19" customBuiltin="1"/>
    <cellStyle name="Název" xfId="27" builtinId="15" customBuiltin="1"/>
    <cellStyle name="Neutrální" xfId="34" builtinId="28" customBuiltin="1"/>
    <cellStyle name="normální" xfId="0" builtinId="0"/>
    <cellStyle name="normální 10" xfId="15"/>
    <cellStyle name="normální 10 2" xfId="81"/>
    <cellStyle name="normální 10 2 2" xfId="183"/>
    <cellStyle name="normální 10 3" xfId="80"/>
    <cellStyle name="normální 10 3 2" xfId="184"/>
    <cellStyle name="normální 10 4" xfId="91"/>
    <cellStyle name="normální 10 4 2" xfId="185"/>
    <cellStyle name="normální 10 5" xfId="109"/>
    <cellStyle name="normální 10 5 2" xfId="186"/>
    <cellStyle name="normální 10 6" xfId="106"/>
    <cellStyle name="normální 10 6 2" xfId="187"/>
    <cellStyle name="normální 10 7" xfId="107"/>
    <cellStyle name="normální 10 7 2" xfId="188"/>
    <cellStyle name="normální 11" xfId="20"/>
    <cellStyle name="normální 11 2" xfId="92"/>
    <cellStyle name="normální 11 2 2" xfId="189"/>
    <cellStyle name="normální 11 3" xfId="110"/>
    <cellStyle name="normální 11 3 2" xfId="190"/>
    <cellStyle name="normální 11 4" xfId="105"/>
    <cellStyle name="normální 11 4 2" xfId="191"/>
    <cellStyle name="normální 11 5" xfId="108"/>
    <cellStyle name="normální 11 5 2" xfId="192"/>
    <cellStyle name="normální 12" xfId="25"/>
    <cellStyle name="normální 12 2" xfId="119"/>
    <cellStyle name="normální 12 2 2" xfId="193"/>
    <cellStyle name="normální 12 3" xfId="131"/>
    <cellStyle name="normální 12 3 2" xfId="194"/>
    <cellStyle name="normální 12 4" xfId="137"/>
    <cellStyle name="normální 12 4 2" xfId="195"/>
    <cellStyle name="normální 13" xfId="89"/>
    <cellStyle name="normální 13 2" xfId="165"/>
    <cellStyle name="normální 14" xfId="99"/>
    <cellStyle name="normální 15" xfId="118"/>
    <cellStyle name="Normální 16" xfId="234"/>
    <cellStyle name="normální 16 2" xfId="166"/>
    <cellStyle name="Normální 16 3" xfId="236"/>
    <cellStyle name="normální 17" xfId="232"/>
    <cellStyle name="normální 2" xfId="22"/>
    <cellStyle name="normální 2 10" xfId="79"/>
    <cellStyle name="normální 2 10 2" xfId="197"/>
    <cellStyle name="normální 2 11" xfId="93"/>
    <cellStyle name="normální 2 11 2" xfId="198"/>
    <cellStyle name="normální 2 12" xfId="111"/>
    <cellStyle name="normální 2 12 2" xfId="199"/>
    <cellStyle name="normální 2 13" xfId="104"/>
    <cellStyle name="normální 2 13 2" xfId="200"/>
    <cellStyle name="normální 2 14" xfId="123"/>
    <cellStyle name="normální 2 14 2" xfId="201"/>
    <cellStyle name="normální 2 15" xfId="149"/>
    <cellStyle name="normální 2 16" xfId="167"/>
    <cellStyle name="normální 2 2" xfId="6"/>
    <cellStyle name="normální 2 2 10" xfId="78"/>
    <cellStyle name="normální 2 2 11" xfId="94"/>
    <cellStyle name="normální 2 2 12" xfId="112"/>
    <cellStyle name="normální 2 2 13" xfId="103"/>
    <cellStyle name="normální 2 2 14" xfId="122"/>
    <cellStyle name="normální 2 2 15" xfId="196"/>
    <cellStyle name="normální 2 2 2" xfId="7"/>
    <cellStyle name="normální 2 2 2 2" xfId="84"/>
    <cellStyle name="normální 2 2 2 2 2" xfId="85"/>
    <cellStyle name="normální 2 2 2 2 2 2" xfId="125"/>
    <cellStyle name="normální 2 2 2 2 2 2 2" xfId="124"/>
    <cellStyle name="normální 2 2 2 2 2 2 2 2" xfId="205"/>
    <cellStyle name="normální 2 2 2 2 2 2 2 2 2" xfId="206"/>
    <cellStyle name="normální 2 2 2 2 2 2 3" xfId="132"/>
    <cellStyle name="normální 2 2 2 2 2 2 4" xfId="138"/>
    <cellStyle name="normální 2 2 2 2 2 2 5" xfId="204"/>
    <cellStyle name="normální 2 2 2 2 2 3" xfId="133"/>
    <cellStyle name="normální 2 2 2 2 2 3 2" xfId="207"/>
    <cellStyle name="normální 2 2 2 2 2 4" xfId="139"/>
    <cellStyle name="normální 2 2 2 2 2 4 2" xfId="208"/>
    <cellStyle name="normální 2 2 2 2 2 5" xfId="203"/>
    <cellStyle name="normální 2 2 2 2 3" xfId="76"/>
    <cellStyle name="normální 2 2 2 2 4" xfId="96"/>
    <cellStyle name="normální 2 2 2 2 5" xfId="114"/>
    <cellStyle name="normální 2 2 2 2 6" xfId="101"/>
    <cellStyle name="normální 2 2 2 2 7" xfId="121"/>
    <cellStyle name="normální 2 2 2 2 8" xfId="202"/>
    <cellStyle name="normální 2 2 2 3" xfId="77"/>
    <cellStyle name="normální 2 2 2 3 2" xfId="126"/>
    <cellStyle name="normální 2 2 2 3 3" xfId="134"/>
    <cellStyle name="normální 2 2 2 3 4" xfId="140"/>
    <cellStyle name="normální 2 2 2 3 5" xfId="209"/>
    <cellStyle name="normální 2 2 2 4" xfId="95"/>
    <cellStyle name="normální 2 2 2 4 2" xfId="210"/>
    <cellStyle name="normální 2 2 2 5" xfId="113"/>
    <cellStyle name="normální 2 2 2 5 2" xfId="211"/>
    <cellStyle name="normální 2 2 2 6" xfId="102"/>
    <cellStyle name="normální 2 2 2 6 2" xfId="212"/>
    <cellStyle name="normální 2 2 2 7" xfId="116"/>
    <cellStyle name="normální 2 2 2 7 2" xfId="213"/>
    <cellStyle name="normální 2 2 2 8" xfId="168"/>
    <cellStyle name="normální 2 2 3" xfId="19"/>
    <cellStyle name="normální 2 2 3 2" xfId="127"/>
    <cellStyle name="normální 2 2 3 2 2" xfId="214"/>
    <cellStyle name="normální 2 2 3 3" xfId="135"/>
    <cellStyle name="normální 2 2 3 3 2" xfId="215"/>
    <cellStyle name="normální 2 2 3 4" xfId="141"/>
    <cellStyle name="normální 2 2 3 4 2" xfId="216"/>
    <cellStyle name="normální 2 2 4" xfId="16"/>
    <cellStyle name="normální 2 2 5" xfId="21"/>
    <cellStyle name="normální 2 2 6" xfId="24"/>
    <cellStyle name="normální 2 2 7" xfId="71"/>
    <cellStyle name="normální 2 2 8" xfId="70"/>
    <cellStyle name="normální 2 2 9" xfId="83"/>
    <cellStyle name="normální 2 3" xfId="18"/>
    <cellStyle name="normální 2 3 2" xfId="86"/>
    <cellStyle name="normální 2 3 3" xfId="75"/>
    <cellStyle name="normální 2 3 4" xfId="97"/>
    <cellStyle name="normální 2 3 5" xfId="115"/>
    <cellStyle name="normální 2 3 6" xfId="100"/>
    <cellStyle name="normální 2 3 7" xfId="117"/>
    <cellStyle name="normální 2 3 8" xfId="217"/>
    <cellStyle name="normální 2 4" xfId="17"/>
    <cellStyle name="normální 2 4 2" xfId="128"/>
    <cellStyle name="normální 2 4 3" xfId="136"/>
    <cellStyle name="normální 2 4 4" xfId="142"/>
    <cellStyle name="normální 2 4 5" xfId="218"/>
    <cellStyle name="normální 2 5" xfId="26"/>
    <cellStyle name="normální 2 5 2" xfId="219"/>
    <cellStyle name="normální 2 6" xfId="23"/>
    <cellStyle name="normální 2 6 2" xfId="220"/>
    <cellStyle name="normální 2 7" xfId="72"/>
    <cellStyle name="normální 2 7 2" xfId="221"/>
    <cellStyle name="normální 2 8" xfId="69"/>
    <cellStyle name="normální 2 8 2" xfId="222"/>
    <cellStyle name="normální 2 9" xfId="82"/>
    <cellStyle name="normální 2 9 2" xfId="223"/>
    <cellStyle name="normální 3" xfId="8"/>
    <cellStyle name="normální 3 2" xfId="73"/>
    <cellStyle name="normální 3 3" xfId="90"/>
    <cellStyle name="normální 3 3 2" xfId="224"/>
    <cellStyle name="normální 4" xfId="9"/>
    <cellStyle name="normální 4 2" xfId="87"/>
    <cellStyle name="normální 4 2 2" xfId="225"/>
    <cellStyle name="normální 4 3" xfId="129"/>
    <cellStyle name="normální 4 3 2" xfId="226"/>
    <cellStyle name="normální 4 4" xfId="170"/>
    <cellStyle name="normální 5" xfId="10"/>
    <cellStyle name="normální 5 2" xfId="150"/>
    <cellStyle name="normální 5 2 2" xfId="169"/>
    <cellStyle name="normální 6" xfId="11"/>
    <cellStyle name="normální 7" xfId="12"/>
    <cellStyle name="normální 8" xfId="13"/>
    <cellStyle name="normální 9" xfId="14"/>
    <cellStyle name="Poznámka" xfId="41" builtinId="10" customBuiltin="1"/>
    <cellStyle name="Poznámka 2" xfId="88"/>
    <cellStyle name="Poznámka 2 2" xfId="130"/>
    <cellStyle name="Poznámka 2 2 2" xfId="228"/>
    <cellStyle name="Poznámka 2 3" xfId="227"/>
    <cellStyle name="Poznámka 3" xfId="120"/>
    <cellStyle name="Poznámka 3 2" xfId="229"/>
    <cellStyle name="Poznámka 4" xfId="163"/>
    <cellStyle name="Poznámka 4 2" xfId="230"/>
    <cellStyle name="Poznámka 5" xfId="164"/>
    <cellStyle name="Poznámka 5 2" xfId="231"/>
    <cellStyle name="Propojená buňka" xfId="38" builtinId="24" customBuiltin="1"/>
    <cellStyle name="Správně" xfId="32" builtinId="26" customBuiltin="1"/>
    <cellStyle name="Text upozornění" xfId="40" builtinId="11" customBuiltin="1"/>
    <cellStyle name="Vstup" xfId="35" builtinId="20" customBuiltin="1"/>
    <cellStyle name="Výpočet" xfId="37" builtinId="22" customBuiltin="1"/>
    <cellStyle name="Výstup" xfId="36" builtinId="21" customBuiltin="1"/>
    <cellStyle name="Vysvětlující text" xfId="42" builtinId="53" customBuiltin="1"/>
    <cellStyle name="Zvýraznění 1" xfId="44" builtinId="29" customBuiltin="1"/>
    <cellStyle name="Zvýraznění 2" xfId="48" builtinId="33" customBuiltin="1"/>
    <cellStyle name="Zvýraznění 3" xfId="52" builtinId="37" customBuiltin="1"/>
    <cellStyle name="Zvýraznění 4" xfId="56" builtinId="41" customBuiltin="1"/>
    <cellStyle name="Zvýraznění 5" xfId="60" builtinId="45" customBuiltin="1"/>
    <cellStyle name="Zvýraznění 6" xfId="64" builtinId="49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200" baseline="0"/>
              <a:t>Návratnost roků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navod!$I$39</c:f>
              <c:strCache>
                <c:ptCount val="1"/>
                <c:pt idx="0">
                  <c:v>návratnost let proti elektrokotli</c:v>
                </c:pt>
              </c:strCache>
            </c:strRef>
          </c:tx>
          <c:xVal>
            <c:numRef>
              <c:f>navod!$A$40:$A$58</c:f>
              <c:numCache>
                <c:formatCode>General</c:formatCode>
                <c:ptCount val="19"/>
                <c:pt idx="0">
                  <c:v>2</c:v>
                </c:pt>
                <c:pt idx="1">
                  <c:v>2.5</c:v>
                </c:pt>
                <c:pt idx="2">
                  <c:v>3</c:v>
                </c:pt>
                <c:pt idx="3">
                  <c:v>3.5</c:v>
                </c:pt>
                <c:pt idx="4">
                  <c:v>4</c:v>
                </c:pt>
                <c:pt idx="5">
                  <c:v>4.5</c:v>
                </c:pt>
                <c:pt idx="6">
                  <c:v>5</c:v>
                </c:pt>
                <c:pt idx="7">
                  <c:v>5.5</c:v>
                </c:pt>
                <c:pt idx="8">
                  <c:v>6</c:v>
                </c:pt>
                <c:pt idx="10">
                  <c:v>2</c:v>
                </c:pt>
                <c:pt idx="11">
                  <c:v>2.5</c:v>
                </c:pt>
                <c:pt idx="12">
                  <c:v>3</c:v>
                </c:pt>
                <c:pt idx="13">
                  <c:v>3.5</c:v>
                </c:pt>
                <c:pt idx="14">
                  <c:v>4</c:v>
                </c:pt>
                <c:pt idx="15">
                  <c:v>4.5</c:v>
                </c:pt>
                <c:pt idx="16">
                  <c:v>5</c:v>
                </c:pt>
                <c:pt idx="17">
                  <c:v>5.5</c:v>
                </c:pt>
                <c:pt idx="18">
                  <c:v>6</c:v>
                </c:pt>
              </c:numCache>
            </c:numRef>
          </c:xVal>
          <c:yVal>
            <c:numRef>
              <c:f>navod!$I$40:$I$58</c:f>
              <c:numCache>
                <c:formatCode>General</c:formatCode>
                <c:ptCount val="19"/>
                <c:pt idx="0">
                  <c:v>5.3041018387553045</c:v>
                </c:pt>
                <c:pt idx="1">
                  <c:v>4.7095761381475665</c:v>
                </c:pt>
                <c:pt idx="2">
                  <c:v>4.2348955392433654</c:v>
                </c:pt>
                <c:pt idx="3">
                  <c:v>3.8471402923826621</c:v>
                </c:pt>
                <c:pt idx="4">
                  <c:v>3.524436090225564</c:v>
                </c:pt>
                <c:pt idx="5">
                  <c:v>3.2516800346845871</c:v>
                </c:pt>
                <c:pt idx="6">
                  <c:v>3.0181086519114686</c:v>
                </c:pt>
                <c:pt idx="7">
                  <c:v>2.815843814529754</c:v>
                </c:pt>
                <c:pt idx="8">
                  <c:v>2.6389866291344122</c:v>
                </c:pt>
                <c:pt idx="10">
                  <c:v>7.0488721804511281</c:v>
                </c:pt>
                <c:pt idx="11">
                  <c:v>6.0362173038229372</c:v>
                </c:pt>
                <c:pt idx="12">
                  <c:v>5.2779732582688244</c:v>
                </c:pt>
                <c:pt idx="13">
                  <c:v>4.6889653016567676</c:v>
                </c:pt>
                <c:pt idx="14">
                  <c:v>4.2182227221597302</c:v>
                </c:pt>
                <c:pt idx="15">
                  <c:v>3.833375926399182</c:v>
                </c:pt>
                <c:pt idx="16">
                  <c:v>3.5128805620608898</c:v>
                </c:pt>
                <c:pt idx="17">
                  <c:v>3.2418413658958287</c:v>
                </c:pt>
                <c:pt idx="18">
                  <c:v>3.0096308186195828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EA9-4338-8794-05F364B8B80D}"/>
            </c:ext>
          </c:extLst>
        </c:ser>
        <c:ser>
          <c:idx val="1"/>
          <c:order val="1"/>
          <c:tx>
            <c:strRef>
              <c:f>navod!$J$39</c:f>
              <c:strCache>
                <c:ptCount val="1"/>
                <c:pt idx="0">
                  <c:v>návratnost proti plynu s kotlem zdarma</c:v>
                </c:pt>
              </c:strCache>
            </c:strRef>
          </c:tx>
          <c:xVal>
            <c:numRef>
              <c:f>navod!$A$40:$A$58</c:f>
              <c:numCache>
                <c:formatCode>General</c:formatCode>
                <c:ptCount val="19"/>
                <c:pt idx="0">
                  <c:v>2</c:v>
                </c:pt>
                <c:pt idx="1">
                  <c:v>2.5</c:v>
                </c:pt>
                <c:pt idx="2">
                  <c:v>3</c:v>
                </c:pt>
                <c:pt idx="3">
                  <c:v>3.5</c:v>
                </c:pt>
                <c:pt idx="4">
                  <c:v>4</c:v>
                </c:pt>
                <c:pt idx="5">
                  <c:v>4.5</c:v>
                </c:pt>
                <c:pt idx="6">
                  <c:v>5</c:v>
                </c:pt>
                <c:pt idx="7">
                  <c:v>5.5</c:v>
                </c:pt>
                <c:pt idx="8">
                  <c:v>6</c:v>
                </c:pt>
                <c:pt idx="10">
                  <c:v>2</c:v>
                </c:pt>
                <c:pt idx="11">
                  <c:v>2.5</c:v>
                </c:pt>
                <c:pt idx="12">
                  <c:v>3</c:v>
                </c:pt>
                <c:pt idx="13">
                  <c:v>3.5</c:v>
                </c:pt>
                <c:pt idx="14">
                  <c:v>4</c:v>
                </c:pt>
                <c:pt idx="15">
                  <c:v>4.5</c:v>
                </c:pt>
                <c:pt idx="16">
                  <c:v>5</c:v>
                </c:pt>
                <c:pt idx="17">
                  <c:v>5.5</c:v>
                </c:pt>
                <c:pt idx="18">
                  <c:v>6</c:v>
                </c:pt>
              </c:numCache>
            </c:numRef>
          </c:xVal>
          <c:yVal>
            <c:numRef>
              <c:f>navod!$J$40:$J$58</c:f>
              <c:numCache>
                <c:formatCode>General</c:formatCode>
                <c:ptCount val="19"/>
                <c:pt idx="0">
                  <c:v>14.851485148514852</c:v>
                </c:pt>
                <c:pt idx="1">
                  <c:v>13.186813186813186</c:v>
                </c:pt>
                <c:pt idx="2">
                  <c:v>11.857707509881424</c:v>
                </c:pt>
                <c:pt idx="3">
                  <c:v>10.771992818671455</c:v>
                </c:pt>
                <c:pt idx="4">
                  <c:v>9.8684210526315788</c:v>
                </c:pt>
                <c:pt idx="5">
                  <c:v>9.1047040971168443</c:v>
                </c:pt>
                <c:pt idx="6">
                  <c:v>8.4507042253521121</c:v>
                </c:pt>
                <c:pt idx="7">
                  <c:v>7.8843626806833118</c:v>
                </c:pt>
                <c:pt idx="8">
                  <c:v>7.389162561576355</c:v>
                </c:pt>
                <c:pt idx="10">
                  <c:v>19.736842105263158</c:v>
                </c:pt>
                <c:pt idx="11">
                  <c:v>16.901408450704224</c:v>
                </c:pt>
                <c:pt idx="12">
                  <c:v>14.77832512315271</c:v>
                </c:pt>
                <c:pt idx="13">
                  <c:v>13.12910284463895</c:v>
                </c:pt>
                <c:pt idx="14">
                  <c:v>11.811023622047244</c:v>
                </c:pt>
                <c:pt idx="15">
                  <c:v>10.733452593917709</c:v>
                </c:pt>
                <c:pt idx="16">
                  <c:v>9.8360655737704921</c:v>
                </c:pt>
                <c:pt idx="17">
                  <c:v>9.0771558245083206</c:v>
                </c:pt>
                <c:pt idx="18">
                  <c:v>8.4269662921348321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EA9-4338-8794-05F364B8B80D}"/>
            </c:ext>
          </c:extLst>
        </c:ser>
        <c:axId val="118200576"/>
        <c:axId val="118222848"/>
      </c:scatterChart>
      <c:valAx>
        <c:axId val="118200576"/>
        <c:scaling>
          <c:orientation val="minMax"/>
        </c:scaling>
        <c:axPos val="b"/>
        <c:numFmt formatCode="General" sourceLinked="1"/>
        <c:tickLblPos val="nextTo"/>
        <c:crossAx val="118222848"/>
        <c:crosses val="autoZero"/>
        <c:crossBetween val="midCat"/>
      </c:valAx>
      <c:valAx>
        <c:axId val="118222848"/>
        <c:scaling>
          <c:orientation val="minMax"/>
        </c:scaling>
        <c:axPos val="l"/>
        <c:majorGridlines/>
        <c:numFmt formatCode="General" sourceLinked="1"/>
        <c:tickLblPos val="nextTo"/>
        <c:crossAx val="11820057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spis!$K$355</c:f>
              <c:strCache>
                <c:ptCount val="1"/>
                <c:pt idx="0">
                  <c:v>Telgárt 906 m.n.m.</c:v>
                </c:pt>
              </c:strCache>
            </c:strRef>
          </c:tx>
          <c:marker>
            <c:symbol val="none"/>
          </c:marker>
          <c:xVal>
            <c:numRef>
              <c:f>spis!$I$356:$I$395</c:f>
              <c:numCache>
                <c:formatCode>dd/mm/yy;@</c:formatCode>
                <c:ptCount val="40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</c:numCache>
            </c:numRef>
          </c:xVal>
          <c:yVal>
            <c:numRef>
              <c:f>spis!$K$356:$K$395</c:f>
              <c:numCache>
                <c:formatCode>General</c:formatCode>
                <c:ptCount val="40"/>
                <c:pt idx="0">
                  <c:v>10</c:v>
                </c:pt>
                <c:pt idx="1">
                  <c:v>6</c:v>
                </c:pt>
                <c:pt idx="2">
                  <c:v>0.5</c:v>
                </c:pt>
                <c:pt idx="3">
                  <c:v>-3</c:v>
                </c:pt>
                <c:pt idx="4">
                  <c:v>-2.1</c:v>
                </c:pt>
                <c:pt idx="5">
                  <c:v>-6.1</c:v>
                </c:pt>
                <c:pt idx="6">
                  <c:v>-2.2999999999999998</c:v>
                </c:pt>
                <c:pt idx="7">
                  <c:v>10.1</c:v>
                </c:pt>
                <c:pt idx="8">
                  <c:v>13.6</c:v>
                </c:pt>
                <c:pt idx="9">
                  <c:v>14.8</c:v>
                </c:pt>
                <c:pt idx="10">
                  <c:v>16.600000000000001</c:v>
                </c:pt>
                <c:pt idx="11">
                  <c:v>17.5</c:v>
                </c:pt>
                <c:pt idx="12">
                  <c:v>12.3</c:v>
                </c:pt>
                <c:pt idx="13">
                  <c:v>8.4</c:v>
                </c:pt>
                <c:pt idx="14">
                  <c:v>3.4</c:v>
                </c:pt>
                <c:pt idx="15">
                  <c:v>-3.5</c:v>
                </c:pt>
                <c:pt idx="16">
                  <c:v>-6</c:v>
                </c:pt>
                <c:pt idx="17">
                  <c:v>-0.7</c:v>
                </c:pt>
                <c:pt idx="18">
                  <c:v>2.6</c:v>
                </c:pt>
                <c:pt idx="19">
                  <c:v>6.7</c:v>
                </c:pt>
                <c:pt idx="20">
                  <c:v>8.1</c:v>
                </c:pt>
                <c:pt idx="21">
                  <c:v>17.8</c:v>
                </c:pt>
                <c:pt idx="22">
                  <c:v>15.5</c:v>
                </c:pt>
                <c:pt idx="23">
                  <c:v>16.600000000000001</c:v>
                </c:pt>
                <c:pt idx="24">
                  <c:v>11</c:v>
                </c:pt>
                <c:pt idx="25">
                  <c:v>7.8</c:v>
                </c:pt>
                <c:pt idx="26">
                  <c:v>4.7</c:v>
                </c:pt>
                <c:pt idx="27">
                  <c:v>-1.2</c:v>
                </c:pt>
                <c:pt idx="28">
                  <c:v>-2.5</c:v>
                </c:pt>
                <c:pt idx="29">
                  <c:v>-0.8</c:v>
                </c:pt>
                <c:pt idx="30">
                  <c:v>1</c:v>
                </c:pt>
                <c:pt idx="31">
                  <c:v>6.3</c:v>
                </c:pt>
                <c:pt idx="32">
                  <c:v>8.1</c:v>
                </c:pt>
                <c:pt idx="33">
                  <c:v>14.7</c:v>
                </c:pt>
                <c:pt idx="34">
                  <c:v>15.2</c:v>
                </c:pt>
                <c:pt idx="35">
                  <c:v>16.7</c:v>
                </c:pt>
                <c:pt idx="36">
                  <c:v>12.4</c:v>
                </c:pt>
                <c:pt idx="37">
                  <c:v>7</c:v>
                </c:pt>
                <c:pt idx="38">
                  <c:v>1.4</c:v>
                </c:pt>
                <c:pt idx="39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F4C-4106-AF6F-5060BB4CD57C}"/>
            </c:ext>
          </c:extLst>
        </c:ser>
        <c:ser>
          <c:idx val="1"/>
          <c:order val="1"/>
          <c:tx>
            <c:strRef>
              <c:f>spis!$L$355</c:f>
              <c:strCache>
                <c:ptCount val="1"/>
                <c:pt idx="0">
                  <c:v>Strbske pleso 1356 m,n,m,</c:v>
                </c:pt>
              </c:strCache>
            </c:strRef>
          </c:tx>
          <c:marker>
            <c:symbol val="none"/>
          </c:marker>
          <c:xVal>
            <c:numRef>
              <c:f>spis!$I$356:$I$395</c:f>
              <c:numCache>
                <c:formatCode>dd/mm/yy;@</c:formatCode>
                <c:ptCount val="40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</c:numCache>
            </c:numRef>
          </c:xVal>
          <c:yVal>
            <c:numRef>
              <c:f>spis!$L$356:$L$395</c:f>
              <c:numCache>
                <c:formatCode>General</c:formatCode>
                <c:ptCount val="40"/>
                <c:pt idx="0">
                  <c:v>8.6</c:v>
                </c:pt>
                <c:pt idx="1">
                  <c:v>4.7</c:v>
                </c:pt>
                <c:pt idx="2">
                  <c:v>-0.2</c:v>
                </c:pt>
                <c:pt idx="3">
                  <c:v>-4.0999999999999996</c:v>
                </c:pt>
                <c:pt idx="4">
                  <c:v>-3</c:v>
                </c:pt>
                <c:pt idx="5">
                  <c:v>-8</c:v>
                </c:pt>
                <c:pt idx="6">
                  <c:v>-3.7</c:v>
                </c:pt>
                <c:pt idx="7">
                  <c:v>9</c:v>
                </c:pt>
                <c:pt idx="8">
                  <c:v>11.7</c:v>
                </c:pt>
                <c:pt idx="9">
                  <c:v>12.9</c:v>
                </c:pt>
                <c:pt idx="10">
                  <c:v>14.3</c:v>
                </c:pt>
                <c:pt idx="11">
                  <c:v>15.5</c:v>
                </c:pt>
                <c:pt idx="12">
                  <c:v>10.7</c:v>
                </c:pt>
                <c:pt idx="13">
                  <c:v>7</c:v>
                </c:pt>
                <c:pt idx="14">
                  <c:v>2.7</c:v>
                </c:pt>
                <c:pt idx="15">
                  <c:v>-4</c:v>
                </c:pt>
                <c:pt idx="16">
                  <c:v>-7.2</c:v>
                </c:pt>
                <c:pt idx="17">
                  <c:v>-1.4</c:v>
                </c:pt>
                <c:pt idx="18">
                  <c:v>0.4</c:v>
                </c:pt>
                <c:pt idx="19">
                  <c:v>4.7</c:v>
                </c:pt>
                <c:pt idx="20">
                  <c:v>6.3</c:v>
                </c:pt>
                <c:pt idx="21">
                  <c:v>16.399999999999999</c:v>
                </c:pt>
                <c:pt idx="22">
                  <c:v>13.9</c:v>
                </c:pt>
                <c:pt idx="23">
                  <c:v>15.7</c:v>
                </c:pt>
                <c:pt idx="24">
                  <c:v>9.6</c:v>
                </c:pt>
                <c:pt idx="25">
                  <c:v>7.3</c:v>
                </c:pt>
                <c:pt idx="26">
                  <c:v>3.5</c:v>
                </c:pt>
                <c:pt idx="27">
                  <c:v>-1.1000000000000001</c:v>
                </c:pt>
                <c:pt idx="28">
                  <c:v>-1.6</c:v>
                </c:pt>
                <c:pt idx="29">
                  <c:v>-2.1</c:v>
                </c:pt>
                <c:pt idx="30">
                  <c:v>-0.5</c:v>
                </c:pt>
                <c:pt idx="31">
                  <c:v>4.8</c:v>
                </c:pt>
                <c:pt idx="32">
                  <c:v>6.3</c:v>
                </c:pt>
                <c:pt idx="33">
                  <c:v>12.7</c:v>
                </c:pt>
                <c:pt idx="34">
                  <c:v>13.7</c:v>
                </c:pt>
                <c:pt idx="35">
                  <c:v>15.4</c:v>
                </c:pt>
                <c:pt idx="36">
                  <c:v>11.1</c:v>
                </c:pt>
                <c:pt idx="37">
                  <c:v>5.5</c:v>
                </c:pt>
                <c:pt idx="38">
                  <c:v>1.7</c:v>
                </c:pt>
                <c:pt idx="39">
                  <c:v>-1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0F4C-4106-AF6F-5060BB4CD57C}"/>
            </c:ext>
          </c:extLst>
        </c:ser>
        <c:ser>
          <c:idx val="2"/>
          <c:order val="2"/>
          <c:tx>
            <c:strRef>
              <c:f>spis!$M$355</c:f>
              <c:strCache>
                <c:ptCount val="1"/>
                <c:pt idx="0">
                  <c:v>Lomnicky stit 2635 m,n,m,</c:v>
                </c:pt>
              </c:strCache>
            </c:strRef>
          </c:tx>
          <c:marker>
            <c:symbol val="none"/>
          </c:marker>
          <c:xVal>
            <c:numRef>
              <c:f>spis!$I$356:$I$395</c:f>
              <c:numCache>
                <c:formatCode>dd/mm/yy;@</c:formatCode>
                <c:ptCount val="40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</c:numCache>
            </c:numRef>
          </c:xVal>
          <c:yVal>
            <c:numRef>
              <c:f>spis!$M$356:$M$395</c:f>
              <c:numCache>
                <c:formatCode>General</c:formatCode>
                <c:ptCount val="40"/>
                <c:pt idx="0">
                  <c:v>0.7</c:v>
                </c:pt>
                <c:pt idx="1">
                  <c:v>-2.4</c:v>
                </c:pt>
                <c:pt idx="2">
                  <c:v>-6</c:v>
                </c:pt>
                <c:pt idx="3">
                  <c:v>-10.199999999999999</c:v>
                </c:pt>
                <c:pt idx="4">
                  <c:v>-8.6999999999999993</c:v>
                </c:pt>
                <c:pt idx="5">
                  <c:v>-13.9</c:v>
                </c:pt>
                <c:pt idx="6">
                  <c:v>-8.5</c:v>
                </c:pt>
                <c:pt idx="7">
                  <c:v>-0.1</c:v>
                </c:pt>
                <c:pt idx="8">
                  <c:v>2.6</c:v>
                </c:pt>
                <c:pt idx="9">
                  <c:v>4.2</c:v>
                </c:pt>
                <c:pt idx="10">
                  <c:v>4.9000000000000004</c:v>
                </c:pt>
                <c:pt idx="11">
                  <c:v>7.8</c:v>
                </c:pt>
                <c:pt idx="12">
                  <c:v>3.1</c:v>
                </c:pt>
                <c:pt idx="13">
                  <c:v>0.2</c:v>
                </c:pt>
                <c:pt idx="14">
                  <c:v>-2.7</c:v>
                </c:pt>
                <c:pt idx="15">
                  <c:v>-9.8000000000000007</c:v>
                </c:pt>
                <c:pt idx="16">
                  <c:v>-13.4</c:v>
                </c:pt>
                <c:pt idx="17">
                  <c:v>-7.6</c:v>
                </c:pt>
                <c:pt idx="18">
                  <c:v>-7.8</c:v>
                </c:pt>
                <c:pt idx="19">
                  <c:v>-3.4</c:v>
                </c:pt>
                <c:pt idx="20">
                  <c:v>-1.5</c:v>
                </c:pt>
                <c:pt idx="21">
                  <c:v>7.3</c:v>
                </c:pt>
                <c:pt idx="22">
                  <c:v>4.2</c:v>
                </c:pt>
                <c:pt idx="23">
                  <c:v>7.1</c:v>
                </c:pt>
                <c:pt idx="24">
                  <c:v>1.9</c:v>
                </c:pt>
                <c:pt idx="25">
                  <c:v>1.5</c:v>
                </c:pt>
                <c:pt idx="26">
                  <c:v>-3.6</c:v>
                </c:pt>
                <c:pt idx="27">
                  <c:v>-7</c:v>
                </c:pt>
                <c:pt idx="28">
                  <c:v>-6</c:v>
                </c:pt>
                <c:pt idx="29">
                  <c:v>-9.4</c:v>
                </c:pt>
                <c:pt idx="30">
                  <c:v>-8.9</c:v>
                </c:pt>
                <c:pt idx="31">
                  <c:v>-4.3</c:v>
                </c:pt>
                <c:pt idx="32">
                  <c:v>-2.7</c:v>
                </c:pt>
                <c:pt idx="33">
                  <c:v>4.5</c:v>
                </c:pt>
                <c:pt idx="34">
                  <c:v>4.9000000000000004</c:v>
                </c:pt>
                <c:pt idx="35">
                  <c:v>7.5</c:v>
                </c:pt>
                <c:pt idx="36">
                  <c:v>5</c:v>
                </c:pt>
                <c:pt idx="37">
                  <c:v>-0.6</c:v>
                </c:pt>
                <c:pt idx="38">
                  <c:v>-2.5</c:v>
                </c:pt>
                <c:pt idx="39">
                  <c:v>-6.4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0F4C-4106-AF6F-5060BB4CD57C}"/>
            </c:ext>
          </c:extLst>
        </c:ser>
        <c:ser>
          <c:idx val="3"/>
          <c:order val="3"/>
          <c:tx>
            <c:strRef>
              <c:f>spis!$N$355</c:f>
              <c:strCache>
                <c:ptCount val="1"/>
                <c:pt idx="0">
                  <c:v>Lomn-Strbs</c:v>
                </c:pt>
              </c:strCache>
            </c:strRef>
          </c:tx>
          <c:marker>
            <c:symbol val="none"/>
          </c:marker>
          <c:xVal>
            <c:numRef>
              <c:f>spis!$I$356:$I$395</c:f>
              <c:numCache>
                <c:formatCode>dd/mm/yy;@</c:formatCode>
                <c:ptCount val="40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</c:numCache>
            </c:numRef>
          </c:xVal>
          <c:yVal>
            <c:numRef>
              <c:f>spis!$N$356:$N$395</c:f>
              <c:numCache>
                <c:formatCode>General</c:formatCode>
                <c:ptCount val="40"/>
                <c:pt idx="0">
                  <c:v>-8.6</c:v>
                </c:pt>
                <c:pt idx="1">
                  <c:v>-7.75</c:v>
                </c:pt>
                <c:pt idx="2">
                  <c:v>-6.15</c:v>
                </c:pt>
                <c:pt idx="3">
                  <c:v>-6.6499999999999986</c:v>
                </c:pt>
                <c:pt idx="4">
                  <c:v>-6.1499999999999995</c:v>
                </c:pt>
                <c:pt idx="5">
                  <c:v>-6.8500000000000005</c:v>
                </c:pt>
                <c:pt idx="6">
                  <c:v>-5.5</c:v>
                </c:pt>
                <c:pt idx="7">
                  <c:v>-9.6499999999999986</c:v>
                </c:pt>
                <c:pt idx="8">
                  <c:v>-10.049999999999999</c:v>
                </c:pt>
                <c:pt idx="9">
                  <c:v>-9.65</c:v>
                </c:pt>
                <c:pt idx="10">
                  <c:v>-10.55</c:v>
                </c:pt>
                <c:pt idx="11">
                  <c:v>-8.6999999999999993</c:v>
                </c:pt>
                <c:pt idx="12">
                  <c:v>-8.4</c:v>
                </c:pt>
                <c:pt idx="13">
                  <c:v>-7.5</c:v>
                </c:pt>
                <c:pt idx="14">
                  <c:v>-5.7500000000000009</c:v>
                </c:pt>
                <c:pt idx="15">
                  <c:v>-6.0500000000000007</c:v>
                </c:pt>
                <c:pt idx="16">
                  <c:v>-6.8000000000000007</c:v>
                </c:pt>
                <c:pt idx="17">
                  <c:v>-6.55</c:v>
                </c:pt>
                <c:pt idx="18">
                  <c:v>-9.3000000000000007</c:v>
                </c:pt>
                <c:pt idx="19">
                  <c:v>-9.1</c:v>
                </c:pt>
                <c:pt idx="20">
                  <c:v>-8.6999999999999993</c:v>
                </c:pt>
                <c:pt idx="21">
                  <c:v>-9.8000000000000007</c:v>
                </c:pt>
                <c:pt idx="22">
                  <c:v>-10.5</c:v>
                </c:pt>
                <c:pt idx="23">
                  <c:v>-9.0500000000000007</c:v>
                </c:pt>
                <c:pt idx="24">
                  <c:v>-8.4</c:v>
                </c:pt>
                <c:pt idx="25">
                  <c:v>-6.05</c:v>
                </c:pt>
                <c:pt idx="26">
                  <c:v>-7.6999999999999993</c:v>
                </c:pt>
                <c:pt idx="27">
                  <c:v>-5.8500000000000005</c:v>
                </c:pt>
                <c:pt idx="28">
                  <c:v>-3.95</c:v>
                </c:pt>
                <c:pt idx="29">
                  <c:v>-7.9499999999999993</c:v>
                </c:pt>
                <c:pt idx="30">
                  <c:v>-9.15</c:v>
                </c:pt>
                <c:pt idx="31">
                  <c:v>-9.85</c:v>
                </c:pt>
                <c:pt idx="32">
                  <c:v>-9.8999999999999986</c:v>
                </c:pt>
                <c:pt idx="33">
                  <c:v>-9.1999999999999993</c:v>
                </c:pt>
                <c:pt idx="34">
                  <c:v>-9.5499999999999989</c:v>
                </c:pt>
                <c:pt idx="35">
                  <c:v>-8.5500000000000007</c:v>
                </c:pt>
                <c:pt idx="36">
                  <c:v>-6.75</c:v>
                </c:pt>
                <c:pt idx="37">
                  <c:v>-6.85</c:v>
                </c:pt>
                <c:pt idx="38">
                  <c:v>-4.05</c:v>
                </c:pt>
                <c:pt idx="39">
                  <c:v>-5.9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0F4C-4106-AF6F-5060BB4CD57C}"/>
            </c:ext>
          </c:extLst>
        </c:ser>
        <c:axId val="118763520"/>
        <c:axId val="118765056"/>
      </c:scatterChart>
      <c:valAx>
        <c:axId val="118763520"/>
        <c:scaling>
          <c:orientation val="minMax"/>
        </c:scaling>
        <c:axPos val="b"/>
        <c:majorGridlines/>
        <c:numFmt formatCode="dd/mm/yy;@" sourceLinked="1"/>
        <c:tickLblPos val="nextTo"/>
        <c:crossAx val="118765056"/>
        <c:crosses val="autoZero"/>
        <c:crossBetween val="midCat"/>
        <c:majorUnit val="183"/>
      </c:valAx>
      <c:valAx>
        <c:axId val="118765056"/>
        <c:scaling>
          <c:orientation val="minMax"/>
          <c:min val="-15"/>
        </c:scaling>
        <c:axPos val="l"/>
        <c:majorGridlines/>
        <c:minorGridlines/>
        <c:numFmt formatCode="General" sourceLinked="1"/>
        <c:tickLblPos val="nextTo"/>
        <c:crossAx val="11876352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Korekce na nadm. výšku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spis!$I$352</c:f>
              <c:strCache>
                <c:ptCount val="1"/>
                <c:pt idx="0">
                  <c:v>st / m</c:v>
                </c:pt>
              </c:strCache>
            </c:strRef>
          </c:tx>
          <c:xVal>
            <c:numRef>
              <c:f>spis!$K$351:$M$351</c:f>
              <c:numCache>
                <c:formatCode>General</c:formatCode>
                <c:ptCount val="3"/>
                <c:pt idx="0">
                  <c:v>906</c:v>
                </c:pt>
                <c:pt idx="1">
                  <c:v>1356</c:v>
                </c:pt>
                <c:pt idx="2">
                  <c:v>2635</c:v>
                </c:pt>
              </c:numCache>
            </c:numRef>
          </c:xVal>
          <c:yVal>
            <c:numRef>
              <c:f>spis!$K$352:$M$352</c:f>
              <c:numCache>
                <c:formatCode>General</c:formatCode>
                <c:ptCount val="3"/>
                <c:pt idx="0">
                  <c:v>-2.7525000000000013</c:v>
                </c:pt>
                <c:pt idx="1">
                  <c:v>-4.0124999999999984</c:v>
                </c:pt>
                <c:pt idx="2">
                  <c:v>-11.217499999999999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456-434E-8436-050BD7FE00C9}"/>
            </c:ext>
          </c:extLst>
        </c:ser>
        <c:ser>
          <c:idx val="1"/>
          <c:order val="1"/>
          <c:tx>
            <c:strRef>
              <c:f>spis!$I$353</c:f>
              <c:strCache>
                <c:ptCount val="1"/>
                <c:pt idx="0">
                  <c:v>-0,0065</c:v>
                </c:pt>
              </c:strCache>
            </c:strRef>
          </c:tx>
          <c:xVal>
            <c:numRef>
              <c:f>spis!$K$351:$M$351</c:f>
              <c:numCache>
                <c:formatCode>General</c:formatCode>
                <c:ptCount val="3"/>
                <c:pt idx="0">
                  <c:v>906</c:v>
                </c:pt>
                <c:pt idx="1">
                  <c:v>1356</c:v>
                </c:pt>
                <c:pt idx="2">
                  <c:v>2635</c:v>
                </c:pt>
              </c:numCache>
            </c:numRef>
          </c:xVal>
          <c:yVal>
            <c:numRef>
              <c:f>spis!$K$353:$M$353</c:f>
              <c:numCache>
                <c:formatCode>General</c:formatCode>
                <c:ptCount val="3"/>
                <c:pt idx="0">
                  <c:v>-1.2189999999999994</c:v>
                </c:pt>
                <c:pt idx="1">
                  <c:v>-4.1439999999999992</c:v>
                </c:pt>
                <c:pt idx="2">
                  <c:v>-12.4575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456-434E-8436-050BD7FE00C9}"/>
            </c:ext>
          </c:extLst>
        </c:ser>
        <c:axId val="118797824"/>
        <c:axId val="118799360"/>
      </c:scatterChart>
      <c:valAx>
        <c:axId val="118797824"/>
        <c:scaling>
          <c:orientation val="minMax"/>
        </c:scaling>
        <c:axPos val="b"/>
        <c:numFmt formatCode="General" sourceLinked="1"/>
        <c:tickLblPos val="nextTo"/>
        <c:crossAx val="118799360"/>
        <c:crosses val="autoZero"/>
        <c:crossBetween val="midCat"/>
      </c:valAx>
      <c:valAx>
        <c:axId val="118799360"/>
        <c:scaling>
          <c:orientation val="minMax"/>
        </c:scaling>
        <c:axPos val="l"/>
        <c:majorGridlines/>
        <c:numFmt formatCode="General" sourceLinked="1"/>
        <c:tickLblPos val="nextTo"/>
        <c:crossAx val="11879782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/>
    <c:plotArea>
      <c:layout/>
      <c:scatterChart>
        <c:scatterStyle val="lineMarker"/>
        <c:ser>
          <c:idx val="0"/>
          <c:order val="0"/>
          <c:tx>
            <c:strRef>
              <c:f>spis!$V$273</c:f>
              <c:strCache>
                <c:ptCount val="1"/>
                <c:pt idx="0">
                  <c:v>poměr</c:v>
                </c:pt>
              </c:strCache>
            </c:strRef>
          </c:tx>
          <c:xVal>
            <c:numRef>
              <c:f>spis!$R$274:$R$287</c:f>
              <c:numCache>
                <c:formatCode>General</c:formatCode>
                <c:ptCount val="14"/>
                <c:pt idx="0">
                  <c:v>6000</c:v>
                </c:pt>
                <c:pt idx="1">
                  <c:v>5000</c:v>
                </c:pt>
                <c:pt idx="2">
                  <c:v>4000</c:v>
                </c:pt>
                <c:pt idx="3">
                  <c:v>3000</c:v>
                </c:pt>
                <c:pt idx="4">
                  <c:v>2000</c:v>
                </c:pt>
                <c:pt idx="5">
                  <c:v>1000</c:v>
                </c:pt>
                <c:pt idx="8">
                  <c:v>6000</c:v>
                </c:pt>
                <c:pt idx="9">
                  <c:v>5000</c:v>
                </c:pt>
                <c:pt idx="10">
                  <c:v>4000</c:v>
                </c:pt>
                <c:pt idx="11">
                  <c:v>3000</c:v>
                </c:pt>
                <c:pt idx="12">
                  <c:v>2000</c:v>
                </c:pt>
                <c:pt idx="13">
                  <c:v>1000</c:v>
                </c:pt>
              </c:numCache>
            </c:numRef>
          </c:xVal>
          <c:yVal>
            <c:numRef>
              <c:f>spis!$V$274:$V$287</c:f>
              <c:numCache>
                <c:formatCode>General</c:formatCode>
                <c:ptCount val="14"/>
                <c:pt idx="0">
                  <c:v>0.65079365079365081</c:v>
                </c:pt>
                <c:pt idx="1">
                  <c:v>0.7142857142857143</c:v>
                </c:pt>
                <c:pt idx="2">
                  <c:v>0.80952380952380965</c:v>
                </c:pt>
                <c:pt idx="3">
                  <c:v>0.96825396825396826</c:v>
                </c:pt>
                <c:pt idx="4">
                  <c:v>1.2857142857142858</c:v>
                </c:pt>
                <c:pt idx="5">
                  <c:v>2.2380952380952386</c:v>
                </c:pt>
                <c:pt idx="8">
                  <c:v>0.80952380952380942</c:v>
                </c:pt>
                <c:pt idx="9">
                  <c:v>0.90476190476190466</c:v>
                </c:pt>
                <c:pt idx="10">
                  <c:v>1.0476190476190474</c:v>
                </c:pt>
                <c:pt idx="11">
                  <c:v>1.2857142857142856</c:v>
                </c:pt>
                <c:pt idx="12">
                  <c:v>1.7619047619047619</c:v>
                </c:pt>
                <c:pt idx="13">
                  <c:v>3.1904761904761907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3A9-4E69-83FE-EC20920EE0FC}"/>
            </c:ext>
          </c:extLst>
        </c:ser>
        <c:axId val="118950528"/>
        <c:axId val="118964608"/>
      </c:scatterChart>
      <c:valAx>
        <c:axId val="118950528"/>
        <c:scaling>
          <c:orientation val="minMax"/>
        </c:scaling>
        <c:axPos val="b"/>
        <c:numFmt formatCode="General" sourceLinked="1"/>
        <c:tickLblPos val="nextTo"/>
        <c:crossAx val="118964608"/>
        <c:crosses val="autoZero"/>
        <c:crossBetween val="midCat"/>
      </c:valAx>
      <c:valAx>
        <c:axId val="118964608"/>
        <c:scaling>
          <c:orientation val="minMax"/>
        </c:scaling>
        <c:axPos val="l"/>
        <c:majorGridlines/>
        <c:numFmt formatCode="General" sourceLinked="1"/>
        <c:tickLblPos val="nextTo"/>
        <c:crossAx val="11895052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vytápění / ohřev vody GJ/rok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PENB!$B$6</c:f>
              <c:strCache>
                <c:ptCount val="1"/>
                <c:pt idx="0">
                  <c:v>vytápění</c:v>
                </c:pt>
              </c:strCache>
            </c:strRef>
          </c:tx>
          <c:xVal>
            <c:numRef>
              <c:f>PENB!$A$7:$A$13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xVal>
          <c:yVal>
            <c:numRef>
              <c:f>PENB!$B$7:$B$13</c:f>
              <c:numCache>
                <c:formatCode>General</c:formatCode>
                <c:ptCount val="7"/>
                <c:pt idx="0">
                  <c:v>386.4</c:v>
                </c:pt>
                <c:pt idx="1">
                  <c:v>284.39999999999998</c:v>
                </c:pt>
                <c:pt idx="2">
                  <c:v>249.12</c:v>
                </c:pt>
                <c:pt idx="3">
                  <c:v>274.2</c:v>
                </c:pt>
                <c:pt idx="4">
                  <c:v>288</c:v>
                </c:pt>
                <c:pt idx="5">
                  <c:v>262</c:v>
                </c:pt>
                <c:pt idx="6">
                  <c:v>247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D3E-4ACE-A1E8-6F8603E4C217}"/>
            </c:ext>
          </c:extLst>
        </c:ser>
        <c:ser>
          <c:idx val="1"/>
          <c:order val="1"/>
          <c:tx>
            <c:strRef>
              <c:f>PENB!$C$6</c:f>
              <c:strCache>
                <c:ptCount val="1"/>
                <c:pt idx="0">
                  <c:v>pata 17°C TZ 31 kW/dt 30K</c:v>
                </c:pt>
              </c:strCache>
            </c:strRef>
          </c:tx>
          <c:xVal>
            <c:numRef>
              <c:f>PENB!$A$7:$A$13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xVal>
          <c:yVal>
            <c:numRef>
              <c:f>PENB!$C$7:$C$13</c:f>
              <c:numCache>
                <c:formatCode>General</c:formatCode>
                <c:ptCount val="7"/>
                <c:pt idx="3">
                  <c:v>278.82541516245476</c:v>
                </c:pt>
                <c:pt idx="4">
                  <c:v>279.68670036101094</c:v>
                </c:pt>
                <c:pt idx="5">
                  <c:v>254.94041877256313</c:v>
                </c:pt>
                <c:pt idx="6">
                  <c:v>251.61883032490999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3D3E-4ACE-A1E8-6F8603E4C217}"/>
            </c:ext>
          </c:extLst>
        </c:ser>
        <c:ser>
          <c:idx val="2"/>
          <c:order val="2"/>
          <c:tx>
            <c:strRef>
              <c:f>PENB!$D$6</c:f>
              <c:strCache>
                <c:ptCount val="1"/>
                <c:pt idx="0">
                  <c:v>DS 17</c:v>
                </c:pt>
              </c:strCache>
            </c:strRef>
          </c:tx>
          <c:xVal>
            <c:numRef>
              <c:f>PENB!$A$7:$A$13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xVal>
          <c:yVal>
            <c:numRef>
              <c:f>PENB!$D$7:$D$13</c:f>
              <c:numCache>
                <c:formatCode>General</c:formatCode>
                <c:ptCount val="7"/>
                <c:pt idx="0">
                  <c:v>280.86931407942234</c:v>
                </c:pt>
                <c:pt idx="1">
                  <c:v>225.10527075812269</c:v>
                </c:pt>
                <c:pt idx="2">
                  <c:v>258.8820216606498</c:v>
                </c:pt>
                <c:pt idx="3">
                  <c:v>275.62743682310469</c:v>
                </c:pt>
                <c:pt idx="4">
                  <c:v>284.82454873646213</c:v>
                </c:pt>
                <c:pt idx="5">
                  <c:v>244.67176895306858</c:v>
                </c:pt>
                <c:pt idx="6">
                  <c:v>252.07711191335738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3D3E-4ACE-A1E8-6F8603E4C217}"/>
            </c:ext>
          </c:extLst>
        </c:ser>
        <c:ser>
          <c:idx val="4"/>
          <c:order val="3"/>
          <c:tx>
            <c:strRef>
              <c:f>PENB!$F$6</c:f>
              <c:strCache>
                <c:ptCount val="1"/>
                <c:pt idx="0">
                  <c:v>ohřev TUV GJ</c:v>
                </c:pt>
              </c:strCache>
            </c:strRef>
          </c:tx>
          <c:xVal>
            <c:numRef>
              <c:f>PENB!$A$7:$A$13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xVal>
          <c:yVal>
            <c:numRef>
              <c:f>PENB!$F$7:$F$13</c:f>
              <c:numCache>
                <c:formatCode>General</c:formatCode>
                <c:ptCount val="7"/>
                <c:pt idx="0">
                  <c:v>257.60000000000002</c:v>
                </c:pt>
                <c:pt idx="1">
                  <c:v>186.6</c:v>
                </c:pt>
                <c:pt idx="2">
                  <c:v>166.08</c:v>
                </c:pt>
                <c:pt idx="3">
                  <c:v>182.8</c:v>
                </c:pt>
                <c:pt idx="4">
                  <c:v>180</c:v>
                </c:pt>
                <c:pt idx="5">
                  <c:v>176</c:v>
                </c:pt>
                <c:pt idx="6">
                  <c:v>176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3D3E-4ACE-A1E8-6F8603E4C217}"/>
            </c:ext>
          </c:extLst>
        </c:ser>
        <c:axId val="119016064"/>
        <c:axId val="119021952"/>
      </c:scatterChart>
      <c:valAx>
        <c:axId val="119016064"/>
        <c:scaling>
          <c:orientation val="minMax"/>
        </c:scaling>
        <c:axPos val="b"/>
        <c:majorGridlines/>
        <c:numFmt formatCode="General" sourceLinked="1"/>
        <c:tickLblPos val="nextTo"/>
        <c:crossAx val="119021952"/>
        <c:crosses val="autoZero"/>
        <c:crossBetween val="midCat"/>
      </c:valAx>
      <c:valAx>
        <c:axId val="119021952"/>
        <c:scaling>
          <c:orientation val="minMax"/>
        </c:scaling>
        <c:axPos val="l"/>
        <c:majorGridlines/>
        <c:numFmt formatCode="General" sourceLinked="1"/>
        <c:tickLblPos val="nextTo"/>
        <c:crossAx val="119016064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 sz="1000" baseline="0"/>
            </a:pPr>
            <a:r>
              <a:rPr lang="cs-CZ" sz="1000" baseline="0"/>
              <a:t>TZ / dT 30K  (kW)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PENB!$E$6</c:f>
              <c:strCache>
                <c:ptCount val="1"/>
                <c:pt idx="0">
                  <c:v>kW (TZ dt 30K)</c:v>
                </c:pt>
              </c:strCache>
            </c:strRef>
          </c:tx>
          <c:xVal>
            <c:numRef>
              <c:f>PENB!$A$7:$A$13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xVal>
          <c:yVal>
            <c:numRef>
              <c:f>PENB!$E$7:$E$13</c:f>
              <c:numCache>
                <c:formatCode>General</c:formatCode>
                <c:ptCount val="7"/>
                <c:pt idx="0">
                  <c:v>45.399049881235157</c:v>
                </c:pt>
                <c:pt idx="1">
                  <c:v>41.692493331639788</c:v>
                </c:pt>
                <c:pt idx="2">
                  <c:v>31.755623458380892</c:v>
                </c:pt>
                <c:pt idx="3">
                  <c:v>32.829097510373437</c:v>
                </c:pt>
                <c:pt idx="4">
                  <c:v>33.367910322904457</c:v>
                </c:pt>
                <c:pt idx="5">
                  <c:v>35.33713773761297</c:v>
                </c:pt>
                <c:pt idx="6">
                  <c:v>32.335343491247301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FCB-46CC-ACC3-D802E3DCCBEC}"/>
            </c:ext>
          </c:extLst>
        </c:ser>
        <c:axId val="119070720"/>
        <c:axId val="119072256"/>
      </c:scatterChart>
      <c:valAx>
        <c:axId val="119070720"/>
        <c:scaling>
          <c:orientation val="minMax"/>
        </c:scaling>
        <c:axPos val="b"/>
        <c:majorGridlines/>
        <c:numFmt formatCode="General" sourceLinked="1"/>
        <c:tickLblPos val="nextTo"/>
        <c:crossAx val="119072256"/>
        <c:crosses val="autoZero"/>
        <c:crossBetween val="midCat"/>
      </c:valAx>
      <c:valAx>
        <c:axId val="119072256"/>
        <c:scaling>
          <c:orientation val="minMax"/>
        </c:scaling>
        <c:axPos val="l"/>
        <c:majorGridlines/>
        <c:numFmt formatCode="General" sourceLinked="1"/>
        <c:tickLblPos val="nextTo"/>
        <c:crossAx val="119070720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PENB!$V$5</c:f>
              <c:strCache>
                <c:ptCount val="1"/>
                <c:pt idx="0">
                  <c:v>GJ/mesic se sl. zis.</c:v>
                </c:pt>
              </c:strCache>
            </c:strRef>
          </c:tx>
          <c:xVal>
            <c:numRef>
              <c:f>PENB!$S$6:$S$17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PENB!$V$6:$V$17</c:f>
              <c:numCache>
                <c:formatCode>General</c:formatCode>
                <c:ptCount val="12"/>
                <c:pt idx="0">
                  <c:v>42.781999999999996</c:v>
                </c:pt>
                <c:pt idx="1">
                  <c:v>30.492000000000001</c:v>
                </c:pt>
                <c:pt idx="2">
                  <c:v>16.756</c:v>
                </c:pt>
                <c:pt idx="3">
                  <c:v>3.19</c:v>
                </c:pt>
                <c:pt idx="9">
                  <c:v>7.7670000000000003</c:v>
                </c:pt>
                <c:pt idx="10">
                  <c:v>27.091000000000001</c:v>
                </c:pt>
                <c:pt idx="11">
                  <c:v>38.850999999999999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D37-44B5-9789-C052B7CF711B}"/>
            </c:ext>
          </c:extLst>
        </c:ser>
        <c:ser>
          <c:idx val="1"/>
          <c:order val="1"/>
          <c:tx>
            <c:strRef>
              <c:f>PENB!$W$5</c:f>
              <c:strCache>
                <c:ptCount val="1"/>
                <c:pt idx="0">
                  <c:v>ekv</c:v>
                </c:pt>
              </c:strCache>
            </c:strRef>
          </c:tx>
          <c:xVal>
            <c:numRef>
              <c:f>PENB!$S$6:$S$17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PENB!$W$6:$W$17</c:f>
              <c:numCache>
                <c:formatCode>General</c:formatCode>
                <c:ptCount val="12"/>
                <c:pt idx="0">
                  <c:v>64.219494584837562</c:v>
                </c:pt>
                <c:pt idx="1">
                  <c:v>56.638844765342974</c:v>
                </c:pt>
                <c:pt idx="2">
                  <c:v>51.139927797833941</c:v>
                </c:pt>
                <c:pt idx="3">
                  <c:v>36.528519855595668</c:v>
                </c:pt>
                <c:pt idx="9">
                  <c:v>37.137328519855593</c:v>
                </c:pt>
                <c:pt idx="10">
                  <c:v>50.963176895306859</c:v>
                </c:pt>
                <c:pt idx="11">
                  <c:v>60.880866425992778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2D37-44B5-9789-C052B7CF711B}"/>
            </c:ext>
          </c:extLst>
        </c:ser>
        <c:ser>
          <c:idx val="2"/>
          <c:order val="2"/>
          <c:tx>
            <c:strRef>
              <c:f>PENB!$X$5</c:f>
              <c:strCache>
                <c:ptCount val="1"/>
                <c:pt idx="0">
                  <c:v>PENB bez sl zis</c:v>
                </c:pt>
              </c:strCache>
            </c:strRef>
          </c:tx>
          <c:xVal>
            <c:numRef>
              <c:f>PENB!$S$6:$S$17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PENB!$X$6:$X$17</c:f>
              <c:numCache>
                <c:formatCode>General</c:formatCode>
                <c:ptCount val="12"/>
                <c:pt idx="0">
                  <c:v>66.346000000000004</c:v>
                </c:pt>
                <c:pt idx="1">
                  <c:v>56.585000000000001</c:v>
                </c:pt>
                <c:pt idx="2">
                  <c:v>50.936999999999998</c:v>
                </c:pt>
                <c:pt idx="3">
                  <c:v>36.171999999999997</c:v>
                </c:pt>
                <c:pt idx="4">
                  <c:v>21.353000000000002</c:v>
                </c:pt>
                <c:pt idx="5">
                  <c:v>12.313000000000001</c:v>
                </c:pt>
                <c:pt idx="6">
                  <c:v>6.8689999999999998</c:v>
                </c:pt>
                <c:pt idx="7">
                  <c:v>7.1769999999999996</c:v>
                </c:pt>
                <c:pt idx="8">
                  <c:v>20.067</c:v>
                </c:pt>
                <c:pt idx="9">
                  <c:v>36.761000000000003</c:v>
                </c:pt>
                <c:pt idx="10">
                  <c:v>50.784999999999997</c:v>
                </c:pt>
                <c:pt idx="11">
                  <c:v>60.798999999999999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2D37-44B5-9789-C052B7CF711B}"/>
            </c:ext>
          </c:extLst>
        </c:ser>
        <c:axId val="119171712"/>
        <c:axId val="119177600"/>
      </c:scatterChart>
      <c:valAx>
        <c:axId val="119171712"/>
        <c:scaling>
          <c:orientation val="minMax"/>
          <c:max val="12"/>
          <c:min val="1"/>
        </c:scaling>
        <c:axPos val="b"/>
        <c:majorGridlines/>
        <c:numFmt formatCode="General" sourceLinked="1"/>
        <c:tickLblPos val="nextTo"/>
        <c:crossAx val="119177600"/>
        <c:crosses val="autoZero"/>
        <c:crossBetween val="midCat"/>
        <c:majorUnit val="1"/>
      </c:valAx>
      <c:valAx>
        <c:axId val="119177600"/>
        <c:scaling>
          <c:orientation val="minMax"/>
        </c:scaling>
        <c:axPos val="l"/>
        <c:majorGridlines/>
        <c:numFmt formatCode="General" sourceLinked="1"/>
        <c:tickLblPos val="nextTo"/>
        <c:crossAx val="119171712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PENB!$T$22</c:f>
              <c:strCache>
                <c:ptCount val="1"/>
                <c:pt idx="0">
                  <c:v>výpočt °C</c:v>
                </c:pt>
              </c:strCache>
            </c:strRef>
          </c:tx>
          <c:xVal>
            <c:numRef>
              <c:f>PENB!$S$23:$S$34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PENB!$T$23:$T$34</c:f>
              <c:numCache>
                <c:formatCode>General</c:formatCode>
                <c:ptCount val="12"/>
                <c:pt idx="0">
                  <c:v>-1.3</c:v>
                </c:pt>
                <c:pt idx="1">
                  <c:v>-0.1</c:v>
                </c:pt>
                <c:pt idx="2">
                  <c:v>3.7</c:v>
                </c:pt>
                <c:pt idx="3">
                  <c:v>8.1</c:v>
                </c:pt>
                <c:pt idx="4">
                  <c:v>13.3</c:v>
                </c:pt>
                <c:pt idx="5">
                  <c:v>16.100000000000001</c:v>
                </c:pt>
                <c:pt idx="6">
                  <c:v>18</c:v>
                </c:pt>
                <c:pt idx="7">
                  <c:v>17.899999999999999</c:v>
                </c:pt>
                <c:pt idx="8">
                  <c:v>13.5</c:v>
                </c:pt>
                <c:pt idx="9">
                  <c:v>8.3000000000000007</c:v>
                </c:pt>
                <c:pt idx="10">
                  <c:v>3.2</c:v>
                </c:pt>
                <c:pt idx="11">
                  <c:v>0.5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CE6-4CF5-9637-7A7D9477563A}"/>
            </c:ext>
          </c:extLst>
        </c:ser>
        <c:ser>
          <c:idx val="1"/>
          <c:order val="1"/>
          <c:tx>
            <c:strRef>
              <c:f>PENB!$U$22</c:f>
              <c:strCache>
                <c:ptCount val="1"/>
                <c:pt idx="0">
                  <c:v>2015</c:v>
                </c:pt>
              </c:strCache>
            </c:strRef>
          </c:tx>
          <c:xVal>
            <c:numRef>
              <c:f>PENB!$S$23:$S$34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PENB!$U$23:$U$34</c:f>
              <c:numCache>
                <c:formatCode>General</c:formatCode>
                <c:ptCount val="12"/>
                <c:pt idx="0">
                  <c:v>-1.0348387096774316</c:v>
                </c:pt>
                <c:pt idx="1">
                  <c:v>2.6234482758620508</c:v>
                </c:pt>
                <c:pt idx="2">
                  <c:v>3.6232258064516181</c:v>
                </c:pt>
                <c:pt idx="3">
                  <c:v>8.2466666666666235</c:v>
                </c:pt>
                <c:pt idx="4">
                  <c:v>13.84580645161294</c:v>
                </c:pt>
                <c:pt idx="5">
                  <c:v>17.706666666666692</c:v>
                </c:pt>
                <c:pt idx="6">
                  <c:v>19.142580645161292</c:v>
                </c:pt>
                <c:pt idx="7">
                  <c:v>17.774838709677521</c:v>
                </c:pt>
                <c:pt idx="8">
                  <c:v>16.780000000000079</c:v>
                </c:pt>
                <c:pt idx="9">
                  <c:v>7.6458064516129758</c:v>
                </c:pt>
                <c:pt idx="10">
                  <c:v>2.5100000000000362</c:v>
                </c:pt>
                <c:pt idx="11">
                  <c:v>-0.24451612903222639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CE6-4CF5-9637-7A7D9477563A}"/>
            </c:ext>
          </c:extLst>
        </c:ser>
        <c:ser>
          <c:idx val="2"/>
          <c:order val="2"/>
          <c:tx>
            <c:strRef>
              <c:f>PENB!$V$22</c:f>
              <c:strCache>
                <c:ptCount val="1"/>
                <c:pt idx="0">
                  <c:v>2016</c:v>
                </c:pt>
              </c:strCache>
            </c:strRef>
          </c:tx>
          <c:xVal>
            <c:numRef>
              <c:f>PENB!$S$23:$S$34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PENB!$V$23:$V$34</c:f>
              <c:numCache>
                <c:formatCode>General</c:formatCode>
                <c:ptCount val="12"/>
                <c:pt idx="0">
                  <c:v>-5.3735483870967133</c:v>
                </c:pt>
                <c:pt idx="1">
                  <c:v>1.5164285714286703</c:v>
                </c:pt>
                <c:pt idx="2">
                  <c:v>6.7683870967743012</c:v>
                </c:pt>
                <c:pt idx="3">
                  <c:v>7.2966666666667459</c:v>
                </c:pt>
                <c:pt idx="4">
                  <c:v>14.310322580645217</c:v>
                </c:pt>
                <c:pt idx="5">
                  <c:v>18.493333333333339</c:v>
                </c:pt>
                <c:pt idx="6">
                  <c:v>19.303870967742085</c:v>
                </c:pt>
                <c:pt idx="7">
                  <c:v>18.558709677419461</c:v>
                </c:pt>
                <c:pt idx="8">
                  <c:v>12.226666666666764</c:v>
                </c:pt>
                <c:pt idx="9">
                  <c:v>10.029677419354664</c:v>
                </c:pt>
                <c:pt idx="10">
                  <c:v>3.8266666666666422</c:v>
                </c:pt>
                <c:pt idx="11">
                  <c:v>1.5006451612903366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7CE6-4CF5-9637-7A7D9477563A}"/>
            </c:ext>
          </c:extLst>
        </c:ser>
        <c:ser>
          <c:idx val="3"/>
          <c:order val="3"/>
          <c:tx>
            <c:strRef>
              <c:f>PENB!$W$22</c:f>
              <c:strCache>
                <c:ptCount val="1"/>
                <c:pt idx="0">
                  <c:v>2017</c:v>
                </c:pt>
              </c:strCache>
            </c:strRef>
          </c:tx>
          <c:xVal>
            <c:numRef>
              <c:f>PENB!$S$23:$S$34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PENB!$W$23:$W$34</c:f>
              <c:numCache>
                <c:formatCode>General</c:formatCode>
                <c:ptCount val="12"/>
                <c:pt idx="0">
                  <c:v>-5.3735483870967133</c:v>
                </c:pt>
                <c:pt idx="1">
                  <c:v>1.5164285714286703</c:v>
                </c:pt>
                <c:pt idx="2">
                  <c:v>6.7683870967743012</c:v>
                </c:pt>
                <c:pt idx="3">
                  <c:v>7.2966666666667459</c:v>
                </c:pt>
                <c:pt idx="4">
                  <c:v>14.310322580645217</c:v>
                </c:pt>
                <c:pt idx="5">
                  <c:v>18.493333333333339</c:v>
                </c:pt>
                <c:pt idx="6">
                  <c:v>19.303870967742085</c:v>
                </c:pt>
                <c:pt idx="7">
                  <c:v>18.558709677419461</c:v>
                </c:pt>
                <c:pt idx="8">
                  <c:v>12.226666666666764</c:v>
                </c:pt>
                <c:pt idx="9">
                  <c:v>10.029677419354664</c:v>
                </c:pt>
                <c:pt idx="10">
                  <c:v>3.8266666666666422</c:v>
                </c:pt>
                <c:pt idx="11">
                  <c:v>1.5006451612903366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7CE6-4CF5-9637-7A7D9477563A}"/>
            </c:ext>
          </c:extLst>
        </c:ser>
        <c:ser>
          <c:idx val="4"/>
          <c:order val="4"/>
          <c:tx>
            <c:strRef>
              <c:f>PENB!$X$22</c:f>
              <c:strCache>
                <c:ptCount val="1"/>
                <c:pt idx="0">
                  <c:v>2018</c:v>
                </c:pt>
              </c:strCache>
            </c:strRef>
          </c:tx>
          <c:xVal>
            <c:numRef>
              <c:f>PENB!$S$23:$S$34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xVal>
          <c:yVal>
            <c:numRef>
              <c:f>PENB!$X$23:$X$34</c:f>
              <c:numCache>
                <c:formatCode>General</c:formatCode>
                <c:ptCount val="12"/>
                <c:pt idx="0">
                  <c:v>2.4683870967742663</c:v>
                </c:pt>
                <c:pt idx="1">
                  <c:v>-3.3299999999999272</c:v>
                </c:pt>
                <c:pt idx="2">
                  <c:v>1.6038709677420318</c:v>
                </c:pt>
                <c:pt idx="3">
                  <c:v>13.213333333333383</c:v>
                </c:pt>
                <c:pt idx="4">
                  <c:v>16.674838709677481</c:v>
                </c:pt>
                <c:pt idx="5">
                  <c:v>17.980000000000111</c:v>
                </c:pt>
                <c:pt idx="6">
                  <c:v>21.181290322580789</c:v>
                </c:pt>
                <c:pt idx="7">
                  <c:v>20.97161290322595</c:v>
                </c:pt>
                <c:pt idx="8">
                  <c:v>15.263333333333321</c:v>
                </c:pt>
                <c:pt idx="9">
                  <c:v>10.23935483870968</c:v>
                </c:pt>
                <c:pt idx="10">
                  <c:v>3.5066666666668729</c:v>
                </c:pt>
                <c:pt idx="11">
                  <c:v>2.4490322580646944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7CE6-4CF5-9637-7A7D9477563A}"/>
            </c:ext>
          </c:extLst>
        </c:ser>
        <c:axId val="119216768"/>
        <c:axId val="119230848"/>
      </c:scatterChart>
      <c:valAx>
        <c:axId val="119216768"/>
        <c:scaling>
          <c:orientation val="minMax"/>
        </c:scaling>
        <c:axPos val="b"/>
        <c:numFmt formatCode="General" sourceLinked="1"/>
        <c:tickLblPos val="nextTo"/>
        <c:crossAx val="119230848"/>
        <c:crosses val="autoZero"/>
        <c:crossBetween val="midCat"/>
      </c:valAx>
      <c:valAx>
        <c:axId val="119230848"/>
        <c:scaling>
          <c:orientation val="minMax"/>
        </c:scaling>
        <c:axPos val="l"/>
        <c:majorGridlines/>
        <c:numFmt formatCode="General" sourceLinked="1"/>
        <c:tickLblPos val="nextTo"/>
        <c:crossAx val="119216768"/>
        <c:crosses val="autoZero"/>
        <c:crossBetween val="midCat"/>
      </c:valAx>
    </c:plotArea>
    <c:legend>
      <c:legendPos val="r"/>
      <c:layout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val>
            <c:numRef>
              <c:f>PENB!$T$35:$X$35</c:f>
              <c:numCache>
                <c:formatCode>General</c:formatCode>
                <c:ptCount val="5"/>
                <c:pt idx="0">
                  <c:v>8.4333333333333318</c:v>
                </c:pt>
                <c:pt idx="1">
                  <c:v>9.0516404029168473</c:v>
                </c:pt>
                <c:pt idx="2">
                  <c:v>9.0381522017409583</c:v>
                </c:pt>
                <c:pt idx="3">
                  <c:v>9.0381522017409583</c:v>
                </c:pt>
                <c:pt idx="4">
                  <c:v>10.185143369175719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99-40C5-8773-D29F28D3FBD1}"/>
            </c:ext>
          </c:extLst>
        </c:ser>
        <c:marker val="1"/>
        <c:axId val="119262592"/>
        <c:axId val="119264384"/>
      </c:lineChart>
      <c:catAx>
        <c:axId val="119262592"/>
        <c:scaling>
          <c:orientation val="minMax"/>
        </c:scaling>
        <c:axPos val="b"/>
        <c:tickLblPos val="nextTo"/>
        <c:crossAx val="119264384"/>
        <c:crosses val="autoZero"/>
        <c:auto val="1"/>
        <c:lblAlgn val="ctr"/>
        <c:lblOffset val="100"/>
      </c:catAx>
      <c:valAx>
        <c:axId val="119264384"/>
        <c:scaling>
          <c:orientation val="minMax"/>
        </c:scaling>
        <c:axPos val="l"/>
        <c:majorGridlines/>
        <c:numFmt formatCode="General" sourceLinked="1"/>
        <c:tickLblPos val="nextTo"/>
        <c:crossAx val="119262592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ekvitermní křivka (kW) dle PENB podzimní pata 11°C, jarní 9°C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PENB!$Y$5</c:f>
              <c:strCache>
                <c:ptCount val="1"/>
                <c:pt idx="0">
                  <c:v>kW se sl</c:v>
                </c:pt>
              </c:strCache>
            </c:strRef>
          </c:tx>
          <c:xVal>
            <c:numRef>
              <c:f>PENB!$U$6:$U$18</c:f>
              <c:numCache>
                <c:formatCode>General</c:formatCode>
                <c:ptCount val="13"/>
                <c:pt idx="0">
                  <c:v>-1.3</c:v>
                </c:pt>
                <c:pt idx="1">
                  <c:v>-0.1</c:v>
                </c:pt>
                <c:pt idx="2">
                  <c:v>3.7</c:v>
                </c:pt>
                <c:pt idx="3">
                  <c:v>8.1</c:v>
                </c:pt>
                <c:pt idx="4">
                  <c:v>13.3</c:v>
                </c:pt>
                <c:pt idx="5">
                  <c:v>16.100000000000001</c:v>
                </c:pt>
                <c:pt idx="6">
                  <c:v>18</c:v>
                </c:pt>
                <c:pt idx="7">
                  <c:v>17.899999999999999</c:v>
                </c:pt>
                <c:pt idx="8">
                  <c:v>13.5</c:v>
                </c:pt>
                <c:pt idx="9">
                  <c:v>8.3000000000000007</c:v>
                </c:pt>
                <c:pt idx="10">
                  <c:v>3.2</c:v>
                </c:pt>
                <c:pt idx="11">
                  <c:v>0.5</c:v>
                </c:pt>
                <c:pt idx="12">
                  <c:v>-1.3</c:v>
                </c:pt>
              </c:numCache>
            </c:numRef>
          </c:xVal>
          <c:yVal>
            <c:numRef>
              <c:f>PENB!$Y$6:$Y$18</c:f>
              <c:numCache>
                <c:formatCode>General</c:formatCode>
                <c:ptCount val="13"/>
                <c:pt idx="0">
                  <c:v>15.972968936678614</c:v>
                </c:pt>
                <c:pt idx="1">
                  <c:v>12.604166666666668</c:v>
                </c:pt>
                <c:pt idx="2">
                  <c:v>6.2559737156511348</c:v>
                </c:pt>
                <c:pt idx="3">
                  <c:v>1.2307098765432098</c:v>
                </c:pt>
                <c:pt idx="9">
                  <c:v>2.8998655913978495</c:v>
                </c:pt>
                <c:pt idx="10">
                  <c:v>10.451774691358025</c:v>
                </c:pt>
                <c:pt idx="11">
                  <c:v>14.505301672640384</c:v>
                </c:pt>
                <c:pt idx="12">
                  <c:v>15.972968936678614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60D-4898-81C0-72DEFC84D55F}"/>
            </c:ext>
          </c:extLst>
        </c:ser>
        <c:ser>
          <c:idx val="1"/>
          <c:order val="1"/>
          <c:tx>
            <c:strRef>
              <c:f>PENB!$Z$5</c:f>
              <c:strCache>
                <c:ptCount val="1"/>
                <c:pt idx="0">
                  <c:v>kW PENB</c:v>
                </c:pt>
              </c:strCache>
            </c:strRef>
          </c:tx>
          <c:xVal>
            <c:numRef>
              <c:f>PENB!$U$6:$U$18</c:f>
              <c:numCache>
                <c:formatCode>General</c:formatCode>
                <c:ptCount val="13"/>
                <c:pt idx="0">
                  <c:v>-1.3</c:v>
                </c:pt>
                <c:pt idx="1">
                  <c:v>-0.1</c:v>
                </c:pt>
                <c:pt idx="2">
                  <c:v>3.7</c:v>
                </c:pt>
                <c:pt idx="3">
                  <c:v>8.1</c:v>
                </c:pt>
                <c:pt idx="4">
                  <c:v>13.3</c:v>
                </c:pt>
                <c:pt idx="5">
                  <c:v>16.100000000000001</c:v>
                </c:pt>
                <c:pt idx="6">
                  <c:v>18</c:v>
                </c:pt>
                <c:pt idx="7">
                  <c:v>17.899999999999999</c:v>
                </c:pt>
                <c:pt idx="8">
                  <c:v>13.5</c:v>
                </c:pt>
                <c:pt idx="9">
                  <c:v>8.3000000000000007</c:v>
                </c:pt>
                <c:pt idx="10">
                  <c:v>3.2</c:v>
                </c:pt>
                <c:pt idx="11">
                  <c:v>0.5</c:v>
                </c:pt>
                <c:pt idx="12">
                  <c:v>-1.3</c:v>
                </c:pt>
              </c:numCache>
            </c:numRef>
          </c:xVal>
          <c:yVal>
            <c:numRef>
              <c:f>PENB!$Z$6:$Z$18</c:f>
              <c:numCache>
                <c:formatCode>General</c:formatCode>
                <c:ptCount val="13"/>
                <c:pt idx="0">
                  <c:v>24.770758661887697</c:v>
                </c:pt>
                <c:pt idx="1">
                  <c:v>23.389963624338627</c:v>
                </c:pt>
                <c:pt idx="2">
                  <c:v>19.017697132616487</c:v>
                </c:pt>
                <c:pt idx="3">
                  <c:v>13.955246913580247</c:v>
                </c:pt>
                <c:pt idx="4">
                  <c:v>7.9722968936678624</c:v>
                </c:pt>
                <c:pt idx="5">
                  <c:v>4.7503858024691361</c:v>
                </c:pt>
                <c:pt idx="6">
                  <c:v>2.5645908004778977</c:v>
                </c:pt>
                <c:pt idx="7">
                  <c:v>2.6795848267622464</c:v>
                </c:pt>
                <c:pt idx="8">
                  <c:v>7.7418981481481488</c:v>
                </c:pt>
                <c:pt idx="9">
                  <c:v>13.724985065710875</c:v>
                </c:pt>
                <c:pt idx="10">
                  <c:v>19.592978395061728</c:v>
                </c:pt>
                <c:pt idx="11">
                  <c:v>22.699746117084828</c:v>
                </c:pt>
                <c:pt idx="12">
                  <c:v>24.770758661887697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60D-4898-81C0-72DEFC84D55F}"/>
            </c:ext>
          </c:extLst>
        </c:ser>
        <c:ser>
          <c:idx val="2"/>
          <c:order val="2"/>
          <c:tx>
            <c:strRef>
              <c:f>PENB!$AA$5</c:f>
              <c:strCache>
                <c:ptCount val="1"/>
                <c:pt idx="0">
                  <c:v>ekv</c:v>
                </c:pt>
              </c:strCache>
            </c:strRef>
          </c:tx>
          <c:xVal>
            <c:numRef>
              <c:f>PENB!$U$6:$U$18</c:f>
              <c:numCache>
                <c:formatCode>General</c:formatCode>
                <c:ptCount val="13"/>
                <c:pt idx="0">
                  <c:v>-1.3</c:v>
                </c:pt>
                <c:pt idx="1">
                  <c:v>-0.1</c:v>
                </c:pt>
                <c:pt idx="2">
                  <c:v>3.7</c:v>
                </c:pt>
                <c:pt idx="3">
                  <c:v>8.1</c:v>
                </c:pt>
                <c:pt idx="4">
                  <c:v>13.3</c:v>
                </c:pt>
                <c:pt idx="5">
                  <c:v>16.100000000000001</c:v>
                </c:pt>
                <c:pt idx="6">
                  <c:v>18</c:v>
                </c:pt>
                <c:pt idx="7">
                  <c:v>17.899999999999999</c:v>
                </c:pt>
                <c:pt idx="8">
                  <c:v>13.5</c:v>
                </c:pt>
                <c:pt idx="9">
                  <c:v>8.3000000000000007</c:v>
                </c:pt>
                <c:pt idx="10">
                  <c:v>3.2</c:v>
                </c:pt>
                <c:pt idx="11">
                  <c:v>0.5</c:v>
                </c:pt>
                <c:pt idx="12">
                  <c:v>-1.3</c:v>
                </c:pt>
              </c:numCache>
            </c:numRef>
          </c:xVal>
          <c:yVal>
            <c:numRef>
              <c:f>PENB!$AA$6:$AA$18</c:f>
              <c:numCache>
                <c:formatCode>General</c:formatCode>
                <c:ptCount val="13"/>
                <c:pt idx="0">
                  <c:v>24.706666666666667</c:v>
                </c:pt>
                <c:pt idx="1">
                  <c:v>23.346666666666671</c:v>
                </c:pt>
                <c:pt idx="2">
                  <c:v>19.040000000000003</c:v>
                </c:pt>
                <c:pt idx="3">
                  <c:v>14.053333333333335</c:v>
                </c:pt>
                <c:pt idx="4">
                  <c:v>8.16</c:v>
                </c:pt>
                <c:pt idx="5">
                  <c:v>4.9866666666666655</c:v>
                </c:pt>
                <c:pt idx="6">
                  <c:v>2.8333333333333335</c:v>
                </c:pt>
                <c:pt idx="7">
                  <c:v>2.9466666666666681</c:v>
                </c:pt>
                <c:pt idx="8">
                  <c:v>7.9333333333333336</c:v>
                </c:pt>
                <c:pt idx="9">
                  <c:v>13.826666666666664</c:v>
                </c:pt>
                <c:pt idx="10">
                  <c:v>19.606666666666669</c:v>
                </c:pt>
                <c:pt idx="11">
                  <c:v>22.666666666666668</c:v>
                </c:pt>
                <c:pt idx="12">
                  <c:v>24.706666666666667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E60D-4898-81C0-72DEFC84D55F}"/>
            </c:ext>
          </c:extLst>
        </c:ser>
        <c:axId val="119358976"/>
        <c:axId val="119360512"/>
      </c:scatterChart>
      <c:valAx>
        <c:axId val="119358976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19360512"/>
        <c:crosses val="autoZero"/>
        <c:crossBetween val="midCat"/>
      </c:valAx>
      <c:valAx>
        <c:axId val="119360512"/>
        <c:scaling>
          <c:orientation val="minMax"/>
        </c:scaling>
        <c:axPos val="l"/>
        <c:majorGridlines/>
        <c:numFmt formatCode="General" sourceLinked="1"/>
        <c:tickLblPos val="nextTo"/>
        <c:crossAx val="119358976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'RR 21 kW'!$E$3</c:f>
              <c:strCache>
                <c:ptCount val="1"/>
                <c:pt idx="0">
                  <c:v>plyn kW</c:v>
                </c:pt>
              </c:strCache>
            </c:strRef>
          </c:tx>
          <c:xVal>
            <c:numRef>
              <c:f>'RR 21 kW'!$A$14:$A$42</c:f>
              <c:numCache>
                <c:formatCode>mmm/yy</c:formatCode>
                <c:ptCount val="2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  <c:pt idx="19">
                  <c:v>44347</c:v>
                </c:pt>
                <c:pt idx="20">
                  <c:v>44377</c:v>
                </c:pt>
                <c:pt idx="21">
                  <c:v>44408</c:v>
                </c:pt>
                <c:pt idx="22">
                  <c:v>44439</c:v>
                </c:pt>
                <c:pt idx="23">
                  <c:v>44469</c:v>
                </c:pt>
                <c:pt idx="24">
                  <c:v>44500</c:v>
                </c:pt>
                <c:pt idx="25">
                  <c:v>44530</c:v>
                </c:pt>
                <c:pt idx="26">
                  <c:v>44561</c:v>
                </c:pt>
                <c:pt idx="27">
                  <c:v>44592</c:v>
                </c:pt>
                <c:pt idx="28">
                  <c:v>44620</c:v>
                </c:pt>
              </c:numCache>
            </c:numRef>
          </c:xVal>
          <c:yVal>
            <c:numRef>
              <c:f>'RR 21 kW'!$E$14:$E$42</c:f>
              <c:numCache>
                <c:formatCode>General</c:formatCode>
                <c:ptCount val="29"/>
                <c:pt idx="0">
                  <c:v>4.8508131720430105</c:v>
                </c:pt>
                <c:pt idx="1">
                  <c:v>8.1708333333333325</c:v>
                </c:pt>
                <c:pt idx="2">
                  <c:v>8.621700268817202</c:v>
                </c:pt>
                <c:pt idx="3">
                  <c:v>9.4277956989247311</c:v>
                </c:pt>
                <c:pt idx="4">
                  <c:v>8.316882183908044</c:v>
                </c:pt>
                <c:pt idx="5">
                  <c:v>7.5696774193548375</c:v>
                </c:pt>
                <c:pt idx="6">
                  <c:v>3.6530555555555551</c:v>
                </c:pt>
                <c:pt idx="7">
                  <c:v>2.4461895161290323</c:v>
                </c:pt>
                <c:pt idx="8">
                  <c:v>0.63179166666666653</c:v>
                </c:pt>
                <c:pt idx="9">
                  <c:v>0.23284274193548377</c:v>
                </c:pt>
                <c:pt idx="10">
                  <c:v>0.13720430107526882</c:v>
                </c:pt>
                <c:pt idx="11">
                  <c:v>1.4647569444444444</c:v>
                </c:pt>
                <c:pt idx="12">
                  <c:v>4.3862836021505371</c:v>
                </c:pt>
                <c:pt idx="13">
                  <c:v>8.3402499999999993</c:v>
                </c:pt>
                <c:pt idx="14">
                  <c:v>8.0615322580645135</c:v>
                </c:pt>
                <c:pt idx="15">
                  <c:v>9.3868077956989229</c:v>
                </c:pt>
                <c:pt idx="16">
                  <c:v>9.1843080357142846</c:v>
                </c:pt>
                <c:pt idx="17">
                  <c:v>7.9112432795698924</c:v>
                </c:pt>
                <c:pt idx="18">
                  <c:v>5.7284097222222217</c:v>
                </c:pt>
                <c:pt idx="19">
                  <c:v>3.1156586021505377</c:v>
                </c:pt>
                <c:pt idx="20">
                  <c:v>0.23648611111111112</c:v>
                </c:pt>
                <c:pt idx="21">
                  <c:v>0.13720430107526882</c:v>
                </c:pt>
                <c:pt idx="22">
                  <c:v>0.83399865591397826</c:v>
                </c:pt>
                <c:pt idx="23">
                  <c:v>1.6059375</c:v>
                </c:pt>
                <c:pt idx="24">
                  <c:v>3.867103494623656</c:v>
                </c:pt>
                <c:pt idx="25">
                  <c:v>4.7401458333333331</c:v>
                </c:pt>
                <c:pt idx="26">
                  <c:v>4.5502352150537622</c:v>
                </c:pt>
                <c:pt idx="27">
                  <c:v>4.2633198924731186</c:v>
                </c:pt>
                <c:pt idx="28">
                  <c:v>3.7992782738095237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76C-423F-800E-BFB99BB51D75}"/>
            </c:ext>
          </c:extLst>
        </c:ser>
        <c:ser>
          <c:idx val="1"/>
          <c:order val="1"/>
          <c:tx>
            <c:strRef>
              <c:f>'RR 21 kW'!$F$3</c:f>
              <c:strCache>
                <c:ptCount val="1"/>
                <c:pt idx="0">
                  <c:v>ekvit kW</c:v>
                </c:pt>
              </c:strCache>
            </c:strRef>
          </c:tx>
          <c:xVal>
            <c:numRef>
              <c:f>'RR 21 kW'!$A$14:$A$42</c:f>
              <c:numCache>
                <c:formatCode>mmm/yy</c:formatCode>
                <c:ptCount val="2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  <c:pt idx="19">
                  <c:v>44347</c:v>
                </c:pt>
                <c:pt idx="20">
                  <c:v>44377</c:v>
                </c:pt>
                <c:pt idx="21">
                  <c:v>44408</c:v>
                </c:pt>
                <c:pt idx="22">
                  <c:v>44439</c:v>
                </c:pt>
                <c:pt idx="23">
                  <c:v>44469</c:v>
                </c:pt>
                <c:pt idx="24">
                  <c:v>44500</c:v>
                </c:pt>
                <c:pt idx="25">
                  <c:v>44530</c:v>
                </c:pt>
                <c:pt idx="26">
                  <c:v>44561</c:v>
                </c:pt>
                <c:pt idx="27">
                  <c:v>44592</c:v>
                </c:pt>
                <c:pt idx="28">
                  <c:v>44620</c:v>
                </c:pt>
              </c:numCache>
            </c:numRef>
          </c:xVal>
          <c:yVal>
            <c:numRef>
              <c:f>'RR 21 kW'!$F$14:$F$42</c:f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076C-423F-800E-BFB99BB51D75}"/>
            </c:ext>
          </c:extLst>
        </c:ser>
        <c:ser>
          <c:idx val="2"/>
          <c:order val="2"/>
          <c:tx>
            <c:strRef>
              <c:f>'RR 21 kW'!$G$3</c:f>
              <c:strCache>
                <c:ptCount val="1"/>
                <c:pt idx="0">
                  <c:v>ekvit kW</c:v>
                </c:pt>
              </c:strCache>
            </c:strRef>
          </c:tx>
          <c:xVal>
            <c:numRef>
              <c:f>'RR 21 kW'!$A$14:$A$42</c:f>
              <c:numCache>
                <c:formatCode>mmm/yy</c:formatCode>
                <c:ptCount val="2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  <c:pt idx="19">
                  <c:v>44347</c:v>
                </c:pt>
                <c:pt idx="20">
                  <c:v>44377</c:v>
                </c:pt>
                <c:pt idx="21">
                  <c:v>44408</c:v>
                </c:pt>
                <c:pt idx="22">
                  <c:v>44439</c:v>
                </c:pt>
                <c:pt idx="23">
                  <c:v>44469</c:v>
                </c:pt>
                <c:pt idx="24">
                  <c:v>44500</c:v>
                </c:pt>
                <c:pt idx="25">
                  <c:v>44530</c:v>
                </c:pt>
                <c:pt idx="26">
                  <c:v>44561</c:v>
                </c:pt>
                <c:pt idx="27">
                  <c:v>44592</c:v>
                </c:pt>
                <c:pt idx="28">
                  <c:v>44620</c:v>
                </c:pt>
              </c:numCache>
            </c:numRef>
          </c:xVal>
          <c:yVal>
            <c:numRef>
              <c:f>'RR 21 kW'!$G$14:$G$42</c:f>
              <c:numCache>
                <c:formatCode>General</c:formatCode>
                <c:ptCount val="29"/>
                <c:pt idx="0">
                  <c:v>3.48</c:v>
                </c:pt>
                <c:pt idx="1">
                  <c:v>5.6400000000000006</c:v>
                </c:pt>
                <c:pt idx="2">
                  <c:v>8.16</c:v>
                </c:pt>
                <c:pt idx="3">
                  <c:v>8.94</c:v>
                </c:pt>
                <c:pt idx="4">
                  <c:v>7.5</c:v>
                </c:pt>
                <c:pt idx="5">
                  <c:v>7.2</c:v>
                </c:pt>
                <c:pt idx="6">
                  <c:v>4.0200000000000005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1.1400000000000001</c:v>
                </c:pt>
                <c:pt idx="12">
                  <c:v>3.6</c:v>
                </c:pt>
                <c:pt idx="13">
                  <c:v>8.4</c:v>
                </c:pt>
                <c:pt idx="14">
                  <c:v>8.1</c:v>
                </c:pt>
                <c:pt idx="15">
                  <c:v>9.9600000000000009</c:v>
                </c:pt>
                <c:pt idx="16">
                  <c:v>9.66</c:v>
                </c:pt>
                <c:pt idx="17">
                  <c:v>7.8599999999999994</c:v>
                </c:pt>
                <c:pt idx="18">
                  <c:v>6.48</c:v>
                </c:pt>
                <c:pt idx="19">
                  <c:v>3.1316129032257218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0.68199999999982519</c:v>
                </c:pt>
                <c:pt idx="24">
                  <c:v>4.7729032258062123</c:v>
                </c:pt>
                <c:pt idx="25">
                  <c:v>7.4220000000001898</c:v>
                </c:pt>
                <c:pt idx="26">
                  <c:v>9.0270967741933639</c:v>
                </c:pt>
                <c:pt idx="27">
                  <c:v>8.9825806451613328</c:v>
                </c:pt>
                <c:pt idx="28">
                  <c:v>7.5107142857144407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076C-423F-800E-BFB99BB51D75}"/>
            </c:ext>
          </c:extLst>
        </c:ser>
        <c:axId val="119449088"/>
        <c:axId val="119450624"/>
      </c:scatterChart>
      <c:valAx>
        <c:axId val="119449088"/>
        <c:scaling>
          <c:orientation val="minMax"/>
        </c:scaling>
        <c:axPos val="b"/>
        <c:majorGridlines/>
        <c:numFmt formatCode="mmm/yy" sourceLinked="1"/>
        <c:tickLblPos val="nextTo"/>
        <c:txPr>
          <a:bodyPr rot="-2100000"/>
          <a:lstStyle/>
          <a:p>
            <a:pPr>
              <a:defRPr/>
            </a:pPr>
            <a:endParaRPr lang="cs-CZ"/>
          </a:p>
        </c:txPr>
        <c:crossAx val="119450624"/>
        <c:crosses val="autoZero"/>
        <c:crossBetween val="midCat"/>
        <c:majorUnit val="30"/>
      </c:valAx>
      <c:valAx>
        <c:axId val="119450624"/>
        <c:scaling>
          <c:orientation val="minMax"/>
        </c:scaling>
        <c:axPos val="l"/>
        <c:majorGridlines/>
        <c:numFmt formatCode="General" sourceLinked="1"/>
        <c:tickLblPos val="nextTo"/>
        <c:crossAx val="11944908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Spotřeba (kW) - tepelné ztráty - Verovice. Odpovídá TZ 1,5 kW/-11°C . Pata 19°C/30K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verovice!$H$5</c:f>
              <c:strCache>
                <c:ptCount val="1"/>
                <c:pt idx="0">
                  <c:v>kW topení</c:v>
                </c:pt>
              </c:strCache>
            </c:strRef>
          </c:tx>
          <c:marker>
            <c:symbol val="none"/>
          </c:marker>
          <c:xVal>
            <c:numRef>
              <c:f>verovice!$A$6:$A$50</c:f>
              <c:numCache>
                <c:formatCode>dd/mm/yyyy</c:formatCode>
                <c:ptCount val="45"/>
                <c:pt idx="0">
                  <c:v>42125.5</c:v>
                </c:pt>
                <c:pt idx="1">
                  <c:v>42156.5</c:v>
                </c:pt>
                <c:pt idx="2">
                  <c:v>42186.5</c:v>
                </c:pt>
                <c:pt idx="3">
                  <c:v>42217.5</c:v>
                </c:pt>
                <c:pt idx="4">
                  <c:v>42248.5</c:v>
                </c:pt>
                <c:pt idx="5">
                  <c:v>42278.5</c:v>
                </c:pt>
                <c:pt idx="6">
                  <c:v>42309.5</c:v>
                </c:pt>
                <c:pt idx="7">
                  <c:v>42339.5</c:v>
                </c:pt>
                <c:pt idx="8">
                  <c:v>42370.5</c:v>
                </c:pt>
                <c:pt idx="9">
                  <c:v>42401.5</c:v>
                </c:pt>
                <c:pt idx="10">
                  <c:v>42430.5</c:v>
                </c:pt>
                <c:pt idx="11">
                  <c:v>42461.5</c:v>
                </c:pt>
                <c:pt idx="12">
                  <c:v>42491.5</c:v>
                </c:pt>
                <c:pt idx="13">
                  <c:v>42522.5</c:v>
                </c:pt>
                <c:pt idx="14">
                  <c:v>42552.5</c:v>
                </c:pt>
                <c:pt idx="15">
                  <c:v>42583.5</c:v>
                </c:pt>
                <c:pt idx="16">
                  <c:v>42614.5</c:v>
                </c:pt>
                <c:pt idx="17">
                  <c:v>42644.5</c:v>
                </c:pt>
                <c:pt idx="18">
                  <c:v>42675.5</c:v>
                </c:pt>
                <c:pt idx="19">
                  <c:v>42705.5</c:v>
                </c:pt>
                <c:pt idx="20">
                  <c:v>42736.5</c:v>
                </c:pt>
                <c:pt idx="21">
                  <c:v>42767.5</c:v>
                </c:pt>
                <c:pt idx="22">
                  <c:v>42795.5</c:v>
                </c:pt>
                <c:pt idx="23">
                  <c:v>42826.5</c:v>
                </c:pt>
                <c:pt idx="24">
                  <c:v>42856.5</c:v>
                </c:pt>
                <c:pt idx="25">
                  <c:v>42887.5</c:v>
                </c:pt>
                <c:pt idx="26">
                  <c:v>42917.5</c:v>
                </c:pt>
                <c:pt idx="27">
                  <c:v>42948.5</c:v>
                </c:pt>
                <c:pt idx="28">
                  <c:v>42979.5</c:v>
                </c:pt>
                <c:pt idx="29">
                  <c:v>43009.5</c:v>
                </c:pt>
                <c:pt idx="30">
                  <c:v>43040.5</c:v>
                </c:pt>
                <c:pt idx="31">
                  <c:v>43070.5</c:v>
                </c:pt>
                <c:pt idx="32">
                  <c:v>43101.5</c:v>
                </c:pt>
                <c:pt idx="33">
                  <c:v>43132.5</c:v>
                </c:pt>
                <c:pt idx="34">
                  <c:v>43160.5</c:v>
                </c:pt>
                <c:pt idx="35">
                  <c:v>43191.5</c:v>
                </c:pt>
                <c:pt idx="36">
                  <c:v>43221.5</c:v>
                </c:pt>
                <c:pt idx="37">
                  <c:v>43252.5</c:v>
                </c:pt>
                <c:pt idx="38">
                  <c:v>43282.5</c:v>
                </c:pt>
                <c:pt idx="39">
                  <c:v>43313.5</c:v>
                </c:pt>
                <c:pt idx="40">
                  <c:v>43344.5</c:v>
                </c:pt>
                <c:pt idx="41">
                  <c:v>43374.5</c:v>
                </c:pt>
                <c:pt idx="42">
                  <c:v>43405.5</c:v>
                </c:pt>
                <c:pt idx="43">
                  <c:v>43435.5</c:v>
                </c:pt>
                <c:pt idx="44">
                  <c:v>43466.5</c:v>
                </c:pt>
              </c:numCache>
            </c:numRef>
          </c:xVal>
          <c:yVal>
            <c:numRef>
              <c:f>verovice!$H$6:$H$50</c:f>
              <c:numCache>
                <c:formatCode>General</c:formatCode>
                <c:ptCount val="45"/>
                <c:pt idx="0">
                  <c:v>0.40416666666666667</c:v>
                </c:pt>
                <c:pt idx="1">
                  <c:v>0.25403225806451613</c:v>
                </c:pt>
                <c:pt idx="2">
                  <c:v>0.21666666666666667</c:v>
                </c:pt>
                <c:pt idx="3">
                  <c:v>0.20161290322580644</c:v>
                </c:pt>
                <c:pt idx="4">
                  <c:v>0.26209677419354838</c:v>
                </c:pt>
                <c:pt idx="5">
                  <c:v>0.2361111111111111</c:v>
                </c:pt>
                <c:pt idx="6">
                  <c:v>0.36559139784946237</c:v>
                </c:pt>
                <c:pt idx="7">
                  <c:v>0.47083333333333333</c:v>
                </c:pt>
                <c:pt idx="8">
                  <c:v>0.64516129032258063</c:v>
                </c:pt>
                <c:pt idx="9">
                  <c:v>0.99193548387096775</c:v>
                </c:pt>
                <c:pt idx="10">
                  <c:v>0.59482758620689657</c:v>
                </c:pt>
                <c:pt idx="11">
                  <c:v>0.61693548387096775</c:v>
                </c:pt>
                <c:pt idx="12">
                  <c:v>0.40138888888888885</c:v>
                </c:pt>
                <c:pt idx="13">
                  <c:v>0.24731182795698925</c:v>
                </c:pt>
                <c:pt idx="14">
                  <c:v>0.21805555555555556</c:v>
                </c:pt>
                <c:pt idx="15">
                  <c:v>9.5430107526881719E-2</c:v>
                </c:pt>
                <c:pt idx="16">
                  <c:v>0.12096774193548387</c:v>
                </c:pt>
                <c:pt idx="17">
                  <c:v>0.2</c:v>
                </c:pt>
                <c:pt idx="18">
                  <c:v>0.4623655913978495</c:v>
                </c:pt>
                <c:pt idx="19">
                  <c:v>0.7</c:v>
                </c:pt>
                <c:pt idx="20">
                  <c:v>0.85080645161290325</c:v>
                </c:pt>
                <c:pt idx="21">
                  <c:v>1.189516129032258</c:v>
                </c:pt>
                <c:pt idx="22">
                  <c:v>0.77529761904761896</c:v>
                </c:pt>
                <c:pt idx="23">
                  <c:v>0.56720430107526876</c:v>
                </c:pt>
                <c:pt idx="24">
                  <c:v>0.43055555555555552</c:v>
                </c:pt>
                <c:pt idx="25">
                  <c:v>0.15860215053763441</c:v>
                </c:pt>
                <c:pt idx="26">
                  <c:v>0.15833333333333333</c:v>
                </c:pt>
                <c:pt idx="27">
                  <c:v>9.5430107526881719E-2</c:v>
                </c:pt>
                <c:pt idx="28">
                  <c:v>0.16263440860215056</c:v>
                </c:pt>
                <c:pt idx="29">
                  <c:v>0.19027777777777777</c:v>
                </c:pt>
                <c:pt idx="30">
                  <c:v>0.38709677419354838</c:v>
                </c:pt>
                <c:pt idx="31">
                  <c:v>0.57361111111111107</c:v>
                </c:pt>
                <c:pt idx="32">
                  <c:v>0.83333333333333326</c:v>
                </c:pt>
                <c:pt idx="33">
                  <c:v>0.82258064516129037</c:v>
                </c:pt>
                <c:pt idx="34">
                  <c:v>1.1860119047619049</c:v>
                </c:pt>
                <c:pt idx="35">
                  <c:v>0.92876344086021512</c:v>
                </c:pt>
                <c:pt idx="36">
                  <c:v>0.18194444444444444</c:v>
                </c:pt>
                <c:pt idx="37">
                  <c:v>0.11021505376344086</c:v>
                </c:pt>
                <c:pt idx="38">
                  <c:v>0.12222222222222222</c:v>
                </c:pt>
                <c:pt idx="39">
                  <c:v>0.11424731182795698</c:v>
                </c:pt>
                <c:pt idx="40">
                  <c:v>0.17204301075268816</c:v>
                </c:pt>
                <c:pt idx="41">
                  <c:v>0.12638888888888888</c:v>
                </c:pt>
                <c:pt idx="42">
                  <c:v>0.27822580645161288</c:v>
                </c:pt>
                <c:pt idx="43">
                  <c:v>0.59305555555555556</c:v>
                </c:pt>
                <c:pt idx="44">
                  <c:v>0.81989247311827962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CF0-4E73-99DB-88CF1CA25C3C}"/>
            </c:ext>
          </c:extLst>
        </c:ser>
        <c:ser>
          <c:idx val="1"/>
          <c:order val="1"/>
          <c:tx>
            <c:strRef>
              <c:f>verovice!$I$5</c:f>
              <c:strCache>
                <c:ptCount val="1"/>
                <c:pt idx="0">
                  <c:v>kW TZ</c:v>
                </c:pt>
              </c:strCache>
            </c:strRef>
          </c:tx>
          <c:marker>
            <c:symbol val="none"/>
          </c:marker>
          <c:xVal>
            <c:numRef>
              <c:f>verovice!$A$6:$A$50</c:f>
              <c:numCache>
                <c:formatCode>dd/mm/yyyy</c:formatCode>
                <c:ptCount val="45"/>
                <c:pt idx="0">
                  <c:v>42125.5</c:v>
                </c:pt>
                <c:pt idx="1">
                  <c:v>42156.5</c:v>
                </c:pt>
                <c:pt idx="2">
                  <c:v>42186.5</c:v>
                </c:pt>
                <c:pt idx="3">
                  <c:v>42217.5</c:v>
                </c:pt>
                <c:pt idx="4">
                  <c:v>42248.5</c:v>
                </c:pt>
                <c:pt idx="5">
                  <c:v>42278.5</c:v>
                </c:pt>
                <c:pt idx="6">
                  <c:v>42309.5</c:v>
                </c:pt>
                <c:pt idx="7">
                  <c:v>42339.5</c:v>
                </c:pt>
                <c:pt idx="8">
                  <c:v>42370.5</c:v>
                </c:pt>
                <c:pt idx="9">
                  <c:v>42401.5</c:v>
                </c:pt>
                <c:pt idx="10">
                  <c:v>42430.5</c:v>
                </c:pt>
                <c:pt idx="11">
                  <c:v>42461.5</c:v>
                </c:pt>
                <c:pt idx="12">
                  <c:v>42491.5</c:v>
                </c:pt>
                <c:pt idx="13">
                  <c:v>42522.5</c:v>
                </c:pt>
                <c:pt idx="14">
                  <c:v>42552.5</c:v>
                </c:pt>
                <c:pt idx="15">
                  <c:v>42583.5</c:v>
                </c:pt>
                <c:pt idx="16">
                  <c:v>42614.5</c:v>
                </c:pt>
                <c:pt idx="17">
                  <c:v>42644.5</c:v>
                </c:pt>
                <c:pt idx="18">
                  <c:v>42675.5</c:v>
                </c:pt>
                <c:pt idx="19">
                  <c:v>42705.5</c:v>
                </c:pt>
                <c:pt idx="20">
                  <c:v>42736.5</c:v>
                </c:pt>
                <c:pt idx="21">
                  <c:v>42767.5</c:v>
                </c:pt>
                <c:pt idx="22">
                  <c:v>42795.5</c:v>
                </c:pt>
                <c:pt idx="23">
                  <c:v>42826.5</c:v>
                </c:pt>
                <c:pt idx="24">
                  <c:v>42856.5</c:v>
                </c:pt>
                <c:pt idx="25">
                  <c:v>42887.5</c:v>
                </c:pt>
                <c:pt idx="26">
                  <c:v>42917.5</c:v>
                </c:pt>
                <c:pt idx="27">
                  <c:v>42948.5</c:v>
                </c:pt>
                <c:pt idx="28">
                  <c:v>42979.5</c:v>
                </c:pt>
                <c:pt idx="29">
                  <c:v>43009.5</c:v>
                </c:pt>
                <c:pt idx="30">
                  <c:v>43040.5</c:v>
                </c:pt>
                <c:pt idx="31">
                  <c:v>43070.5</c:v>
                </c:pt>
                <c:pt idx="32">
                  <c:v>43101.5</c:v>
                </c:pt>
                <c:pt idx="33">
                  <c:v>43132.5</c:v>
                </c:pt>
                <c:pt idx="34">
                  <c:v>43160.5</c:v>
                </c:pt>
                <c:pt idx="35">
                  <c:v>43191.5</c:v>
                </c:pt>
                <c:pt idx="36">
                  <c:v>43221.5</c:v>
                </c:pt>
                <c:pt idx="37">
                  <c:v>43252.5</c:v>
                </c:pt>
                <c:pt idx="38">
                  <c:v>43282.5</c:v>
                </c:pt>
                <c:pt idx="39">
                  <c:v>43313.5</c:v>
                </c:pt>
                <c:pt idx="40">
                  <c:v>43344.5</c:v>
                </c:pt>
                <c:pt idx="41">
                  <c:v>43374.5</c:v>
                </c:pt>
                <c:pt idx="42">
                  <c:v>43405.5</c:v>
                </c:pt>
                <c:pt idx="43">
                  <c:v>43435.5</c:v>
                </c:pt>
                <c:pt idx="44">
                  <c:v>43466.5</c:v>
                </c:pt>
              </c:numCache>
            </c:numRef>
          </c:xVal>
          <c:yVal>
            <c:numRef>
              <c:f>verovice!$I$6:$I$50</c:f>
              <c:numCache>
                <c:formatCode>General</c:formatCode>
                <c:ptCount val="45"/>
                <c:pt idx="0">
                  <c:v>0.36416666666666675</c:v>
                </c:pt>
                <c:pt idx="1">
                  <c:v>7.9268817204300415E-2</c:v>
                </c:pt>
                <c:pt idx="2">
                  <c:v>-0.1336333333333333</c:v>
                </c:pt>
                <c:pt idx="3">
                  <c:v>-0.39838709677419348</c:v>
                </c:pt>
                <c:pt idx="4">
                  <c:v>-0.47377419354838862</c:v>
                </c:pt>
                <c:pt idx="5">
                  <c:v>5.8055555555554618E-2</c:v>
                </c:pt>
                <c:pt idx="6">
                  <c:v>0.40165591397849437</c:v>
                </c:pt>
                <c:pt idx="7">
                  <c:v>0.51384444444444843</c:v>
                </c:pt>
                <c:pt idx="8">
                  <c:v>0.63946236559139702</c:v>
                </c:pt>
                <c:pt idx="9">
                  <c:v>0.96613978494623576</c:v>
                </c:pt>
                <c:pt idx="10">
                  <c:v>0.73444827586206829</c:v>
                </c:pt>
                <c:pt idx="11">
                  <c:v>0.67112903225806542</c:v>
                </c:pt>
                <c:pt idx="12">
                  <c:v>0.3783111111111116</c:v>
                </c:pt>
                <c:pt idx="13">
                  <c:v>2.3698924731183516E-2</c:v>
                </c:pt>
                <c:pt idx="14">
                  <c:v>-0.22082222222221917</c:v>
                </c:pt>
                <c:pt idx="15">
                  <c:v>-0.3117634408602139</c:v>
                </c:pt>
                <c:pt idx="16">
                  <c:v>-0.22513978494623813</c:v>
                </c:pt>
                <c:pt idx="17">
                  <c:v>-0.16213333333332985</c:v>
                </c:pt>
                <c:pt idx="18">
                  <c:v>0.41636559139785345</c:v>
                </c:pt>
                <c:pt idx="19">
                  <c:v>0.7416333333333317</c:v>
                </c:pt>
                <c:pt idx="20">
                  <c:v>0.91608602150537366</c:v>
                </c:pt>
                <c:pt idx="21">
                  <c:v>1.2409247311827969</c:v>
                </c:pt>
                <c:pt idx="22">
                  <c:v>0.80455952380952533</c:v>
                </c:pt>
                <c:pt idx="23">
                  <c:v>0.47193548387096584</c:v>
                </c:pt>
                <c:pt idx="24">
                  <c:v>0.4384777777777773</c:v>
                </c:pt>
                <c:pt idx="25">
                  <c:v>-5.7204301075273042E-3</c:v>
                </c:pt>
                <c:pt idx="26">
                  <c:v>-0.27064444444444219</c:v>
                </c:pt>
                <c:pt idx="27">
                  <c:v>-0.32197849462365286</c:v>
                </c:pt>
                <c:pt idx="28">
                  <c:v>-0.27478494623655919</c:v>
                </c:pt>
                <c:pt idx="29">
                  <c:v>0.12624444444443142</c:v>
                </c:pt>
                <c:pt idx="30">
                  <c:v>0.26538709677418909</c:v>
                </c:pt>
                <c:pt idx="31">
                  <c:v>0.65824444444443908</c:v>
                </c:pt>
                <c:pt idx="32">
                  <c:v>0.80555913978493732</c:v>
                </c:pt>
                <c:pt idx="33">
                  <c:v>0.74426881720430338</c:v>
                </c:pt>
                <c:pt idx="34">
                  <c:v>1.111500000000003</c:v>
                </c:pt>
                <c:pt idx="35">
                  <c:v>0.79902150537633743</c:v>
                </c:pt>
                <c:pt idx="36">
                  <c:v>6.3755555555553262E-2</c:v>
                </c:pt>
                <c:pt idx="37">
                  <c:v>-0.15547311827956686</c:v>
                </c:pt>
                <c:pt idx="38">
                  <c:v>-0.23813333333333186</c:v>
                </c:pt>
                <c:pt idx="39">
                  <c:v>-0.44088172043009849</c:v>
                </c:pt>
                <c:pt idx="40">
                  <c:v>-0.42760215053764039</c:v>
                </c:pt>
                <c:pt idx="41">
                  <c:v>-6.6077777777779997E-2</c:v>
                </c:pt>
                <c:pt idx="42">
                  <c:v>0.25210752688171961</c:v>
                </c:pt>
                <c:pt idx="43">
                  <c:v>0.67851111111111029</c:v>
                </c:pt>
                <c:pt idx="44">
                  <c:v>0.745494623655928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CF0-4E73-99DB-88CF1CA25C3C}"/>
            </c:ext>
          </c:extLst>
        </c:ser>
        <c:ser>
          <c:idx val="2"/>
          <c:order val="2"/>
          <c:tx>
            <c:strRef>
              <c:f>verovice!$J$5</c:f>
              <c:strCache>
                <c:ptCount val="1"/>
                <c:pt idx="0">
                  <c:v>výroba FVE kW</c:v>
                </c:pt>
              </c:strCache>
            </c:strRef>
          </c:tx>
          <c:marker>
            <c:symbol val="none"/>
          </c:marker>
          <c:xVal>
            <c:numRef>
              <c:f>verovice!$A$6:$A$50</c:f>
              <c:numCache>
                <c:formatCode>dd/mm/yyyy</c:formatCode>
                <c:ptCount val="45"/>
                <c:pt idx="0">
                  <c:v>42125.5</c:v>
                </c:pt>
                <c:pt idx="1">
                  <c:v>42156.5</c:v>
                </c:pt>
                <c:pt idx="2">
                  <c:v>42186.5</c:v>
                </c:pt>
                <c:pt idx="3">
                  <c:v>42217.5</c:v>
                </c:pt>
                <c:pt idx="4">
                  <c:v>42248.5</c:v>
                </c:pt>
                <c:pt idx="5">
                  <c:v>42278.5</c:v>
                </c:pt>
                <c:pt idx="6">
                  <c:v>42309.5</c:v>
                </c:pt>
                <c:pt idx="7">
                  <c:v>42339.5</c:v>
                </c:pt>
                <c:pt idx="8">
                  <c:v>42370.5</c:v>
                </c:pt>
                <c:pt idx="9">
                  <c:v>42401.5</c:v>
                </c:pt>
                <c:pt idx="10">
                  <c:v>42430.5</c:v>
                </c:pt>
                <c:pt idx="11">
                  <c:v>42461.5</c:v>
                </c:pt>
                <c:pt idx="12">
                  <c:v>42491.5</c:v>
                </c:pt>
                <c:pt idx="13">
                  <c:v>42522.5</c:v>
                </c:pt>
                <c:pt idx="14">
                  <c:v>42552.5</c:v>
                </c:pt>
                <c:pt idx="15">
                  <c:v>42583.5</c:v>
                </c:pt>
                <c:pt idx="16">
                  <c:v>42614.5</c:v>
                </c:pt>
                <c:pt idx="17">
                  <c:v>42644.5</c:v>
                </c:pt>
                <c:pt idx="18">
                  <c:v>42675.5</c:v>
                </c:pt>
                <c:pt idx="19">
                  <c:v>42705.5</c:v>
                </c:pt>
                <c:pt idx="20">
                  <c:v>42736.5</c:v>
                </c:pt>
                <c:pt idx="21">
                  <c:v>42767.5</c:v>
                </c:pt>
                <c:pt idx="22">
                  <c:v>42795.5</c:v>
                </c:pt>
                <c:pt idx="23">
                  <c:v>42826.5</c:v>
                </c:pt>
                <c:pt idx="24">
                  <c:v>42856.5</c:v>
                </c:pt>
                <c:pt idx="25">
                  <c:v>42887.5</c:v>
                </c:pt>
                <c:pt idx="26">
                  <c:v>42917.5</c:v>
                </c:pt>
                <c:pt idx="27">
                  <c:v>42948.5</c:v>
                </c:pt>
                <c:pt idx="28">
                  <c:v>42979.5</c:v>
                </c:pt>
                <c:pt idx="29">
                  <c:v>43009.5</c:v>
                </c:pt>
                <c:pt idx="30">
                  <c:v>43040.5</c:v>
                </c:pt>
                <c:pt idx="31">
                  <c:v>43070.5</c:v>
                </c:pt>
                <c:pt idx="32">
                  <c:v>43101.5</c:v>
                </c:pt>
                <c:pt idx="33">
                  <c:v>43132.5</c:v>
                </c:pt>
                <c:pt idx="34">
                  <c:v>43160.5</c:v>
                </c:pt>
                <c:pt idx="35">
                  <c:v>43191.5</c:v>
                </c:pt>
                <c:pt idx="36">
                  <c:v>43221.5</c:v>
                </c:pt>
                <c:pt idx="37">
                  <c:v>43252.5</c:v>
                </c:pt>
                <c:pt idx="38">
                  <c:v>43282.5</c:v>
                </c:pt>
                <c:pt idx="39">
                  <c:v>43313.5</c:v>
                </c:pt>
                <c:pt idx="40">
                  <c:v>43344.5</c:v>
                </c:pt>
                <c:pt idx="41">
                  <c:v>43374.5</c:v>
                </c:pt>
                <c:pt idx="42">
                  <c:v>43405.5</c:v>
                </c:pt>
                <c:pt idx="43">
                  <c:v>43435.5</c:v>
                </c:pt>
                <c:pt idx="44">
                  <c:v>43466.5</c:v>
                </c:pt>
              </c:numCache>
            </c:numRef>
          </c:xVal>
          <c:yVal>
            <c:numRef>
              <c:f>verovice!$J$6:$J$50</c:f>
              <c:numCache>
                <c:formatCode>General</c:formatCode>
                <c:ptCount val="4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0.2446236559139785</c:v>
                </c:pt>
                <c:pt idx="16">
                  <c:v>0.55107526881720437</c:v>
                </c:pt>
                <c:pt idx="17">
                  <c:v>0.4375</c:v>
                </c:pt>
                <c:pt idx="18">
                  <c:v>0.17204301075268816</c:v>
                </c:pt>
                <c:pt idx="19">
                  <c:v>9.7222222222222224E-2</c:v>
                </c:pt>
                <c:pt idx="20">
                  <c:v>7.5268817204301078E-2</c:v>
                </c:pt>
                <c:pt idx="21">
                  <c:v>8.6021505376344079E-2</c:v>
                </c:pt>
                <c:pt idx="22">
                  <c:v>0.125</c:v>
                </c:pt>
                <c:pt idx="23">
                  <c:v>0.34946236559139782</c:v>
                </c:pt>
                <c:pt idx="24">
                  <c:v>0.35555555555555557</c:v>
                </c:pt>
                <c:pt idx="25">
                  <c:v>0.54435483870967738</c:v>
                </c:pt>
                <c:pt idx="26">
                  <c:v>0.68333333333333324</c:v>
                </c:pt>
                <c:pt idx="27">
                  <c:v>0.59408602150537637</c:v>
                </c:pt>
                <c:pt idx="28">
                  <c:v>0.54569892473118287</c:v>
                </c:pt>
                <c:pt idx="29">
                  <c:v>0.27083333333333331</c:v>
                </c:pt>
                <c:pt idx="30">
                  <c:v>0.22580645161290322</c:v>
                </c:pt>
                <c:pt idx="31">
                  <c:v>0.11805555555555557</c:v>
                </c:pt>
                <c:pt idx="32">
                  <c:v>3.4946236559139789E-2</c:v>
                </c:pt>
                <c:pt idx="33">
                  <c:v>6.7204301075268813E-2</c:v>
                </c:pt>
                <c:pt idx="34">
                  <c:v>3.273809523809524E-2</c:v>
                </c:pt>
                <c:pt idx="35">
                  <c:v>0.22177419354838709</c:v>
                </c:pt>
                <c:pt idx="36">
                  <c:v>0.56666666666666665</c:v>
                </c:pt>
                <c:pt idx="37">
                  <c:v>0.44354838709677419</c:v>
                </c:pt>
                <c:pt idx="38">
                  <c:v>0.3972222222222222</c:v>
                </c:pt>
                <c:pt idx="39">
                  <c:v>0.56989247311827962</c:v>
                </c:pt>
                <c:pt idx="40">
                  <c:v>0.592741935483871</c:v>
                </c:pt>
                <c:pt idx="41">
                  <c:v>0.43888888888888888</c:v>
                </c:pt>
                <c:pt idx="42">
                  <c:v>0.2553763440860215</c:v>
                </c:pt>
                <c:pt idx="43">
                  <c:v>0.12361111111111112</c:v>
                </c:pt>
                <c:pt idx="44">
                  <c:v>2.6881720430107527E-2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7CF0-4E73-99DB-88CF1CA25C3C}"/>
            </c:ext>
          </c:extLst>
        </c:ser>
        <c:axId val="118359168"/>
        <c:axId val="118360704"/>
      </c:scatterChart>
      <c:valAx>
        <c:axId val="118359168"/>
        <c:scaling>
          <c:orientation val="minMax"/>
          <c:max val="43500"/>
          <c:min val="42095"/>
        </c:scaling>
        <c:axPos val="b"/>
        <c:majorGridlines/>
        <c:minorGridlines/>
        <c:numFmt formatCode="dd/mm/yyyy" sourceLinked="1"/>
        <c:tickLblPos val="nextTo"/>
        <c:txPr>
          <a:bodyPr rot="-2220000"/>
          <a:lstStyle/>
          <a:p>
            <a:pPr>
              <a:defRPr/>
            </a:pPr>
            <a:endParaRPr lang="cs-CZ"/>
          </a:p>
        </c:txPr>
        <c:crossAx val="118360704"/>
        <c:crosses val="autoZero"/>
        <c:crossBetween val="midCat"/>
        <c:majorUnit val="182.5"/>
        <c:minorUnit val="30.41666"/>
      </c:valAx>
      <c:valAx>
        <c:axId val="118360704"/>
        <c:scaling>
          <c:orientation val="minMax"/>
        </c:scaling>
        <c:axPos val="l"/>
        <c:majorGridlines/>
        <c:numFmt formatCode="General" sourceLinked="1"/>
        <c:tickLblPos val="nextTo"/>
        <c:crossAx val="11835916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'RR 21 kW'!$A$14:$A$32</c:f>
              <c:numCache>
                <c:formatCode>mmm/yy</c:formatCode>
                <c:ptCount val="1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</c:numCache>
            </c:numRef>
          </c:xVal>
          <c:yVal>
            <c:numRef>
              <c:f>'RR 21 kW'!$B$14:$B$32</c:f>
              <c:numCache>
                <c:formatCode>General</c:formatCode>
                <c:ptCount val="19"/>
                <c:pt idx="0">
                  <c:v>10.574193548386956</c:v>
                </c:pt>
                <c:pt idx="1">
                  <c:v>6.2733333333332366</c:v>
                </c:pt>
                <c:pt idx="2">
                  <c:v>3.0548387096770906</c:v>
                </c:pt>
                <c:pt idx="3">
                  <c:v>1.4935483870965161</c:v>
                </c:pt>
                <c:pt idx="4">
                  <c:v>5.331034482758696</c:v>
                </c:pt>
                <c:pt idx="5">
                  <c:v>5.209677419354839</c:v>
                </c:pt>
                <c:pt idx="6">
                  <c:v>10.563333333333503</c:v>
                </c:pt>
                <c:pt idx="7">
                  <c:v>12.283870967742029</c:v>
                </c:pt>
                <c:pt idx="8">
                  <c:v>17.603333333333286</c:v>
                </c:pt>
                <c:pt idx="9">
                  <c:v>19.422580645161478</c:v>
                </c:pt>
                <c:pt idx="10">
                  <c:v>20.44838709677424</c:v>
                </c:pt>
                <c:pt idx="11">
                  <c:v>15.749999999999757</c:v>
                </c:pt>
                <c:pt idx="12">
                  <c:v>10.274193548387096</c:v>
                </c:pt>
                <c:pt idx="13">
                  <c:v>4.8533333333335271</c:v>
                </c:pt>
                <c:pt idx="14">
                  <c:v>2.922580645161478</c:v>
                </c:pt>
                <c:pt idx="15">
                  <c:v>9.0322580645020467E-2</c:v>
                </c:pt>
                <c:pt idx="16">
                  <c:v>-0.66428571428579219</c:v>
                </c:pt>
                <c:pt idx="17">
                  <c:v>4.6000000000003052</c:v>
                </c:pt>
                <c:pt idx="18">
                  <c:v>6.4666666666667876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E69-4154-AB18-DCE853397C6C}"/>
            </c:ext>
          </c:extLst>
        </c:ser>
        <c:ser>
          <c:idx val="1"/>
          <c:order val="1"/>
          <c:xVal>
            <c:numRef>
              <c:f>'RR 21 kW'!$A$14:$A$32</c:f>
              <c:numCache>
                <c:formatCode>mmm/yy</c:formatCode>
                <c:ptCount val="1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</c:numCache>
            </c:numRef>
          </c:xVal>
          <c:yVal>
            <c:numRef>
              <c:f>'RR 21 kW'!$C$14:$C$32</c:f>
              <c:numCache>
                <c:formatCode>General</c:formatCode>
                <c:ptCount val="19"/>
                <c:pt idx="0">
                  <c:v>8.1999999999999993</c:v>
                </c:pt>
                <c:pt idx="1">
                  <c:v>4.5999999999999996</c:v>
                </c:pt>
                <c:pt idx="2">
                  <c:v>0.4</c:v>
                </c:pt>
                <c:pt idx="3">
                  <c:v>-0.9</c:v>
                </c:pt>
                <c:pt idx="4">
                  <c:v>1.5</c:v>
                </c:pt>
                <c:pt idx="5">
                  <c:v>2</c:v>
                </c:pt>
                <c:pt idx="6">
                  <c:v>7.3</c:v>
                </c:pt>
                <c:pt idx="7">
                  <c:v>9</c:v>
                </c:pt>
                <c:pt idx="8">
                  <c:v>15</c:v>
                </c:pt>
                <c:pt idx="9">
                  <c:v>15.7</c:v>
                </c:pt>
                <c:pt idx="10">
                  <c:v>16.7</c:v>
                </c:pt>
                <c:pt idx="11">
                  <c:v>12.1</c:v>
                </c:pt>
                <c:pt idx="12">
                  <c:v>8</c:v>
                </c:pt>
                <c:pt idx="14">
                  <c:v>0.5</c:v>
                </c:pt>
                <c:pt idx="15">
                  <c:v>-2.6</c:v>
                </c:pt>
                <c:pt idx="16">
                  <c:v>-2.1</c:v>
                </c:pt>
                <c:pt idx="17">
                  <c:v>0.9</c:v>
                </c:pt>
                <c:pt idx="18">
                  <c:v>3.2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E69-4154-AB18-DCE853397C6C}"/>
            </c:ext>
          </c:extLst>
        </c:ser>
        <c:axId val="119297920"/>
        <c:axId val="119299456"/>
      </c:scatterChart>
      <c:valAx>
        <c:axId val="119297920"/>
        <c:scaling>
          <c:orientation val="minMax"/>
        </c:scaling>
        <c:axPos val="b"/>
        <c:majorGridlines/>
        <c:numFmt formatCode="mmm/yy" sourceLinked="1"/>
        <c:tickLblPos val="nextTo"/>
        <c:crossAx val="119299456"/>
        <c:crosses val="autoZero"/>
        <c:crossBetween val="midCat"/>
        <c:majorUnit val="30"/>
      </c:valAx>
      <c:valAx>
        <c:axId val="119299456"/>
        <c:scaling>
          <c:orientation val="minMax"/>
        </c:scaling>
        <c:axPos val="l"/>
        <c:majorGridlines/>
        <c:numFmt formatCode="General" sourceLinked="1"/>
        <c:tickLblPos val="nextTo"/>
        <c:crossAx val="11929792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Ekvit křivka  kW/venk tepl</a:t>
            </a:r>
            <a:r>
              <a:rPr lang="en-US" sz="1000" baseline="0"/>
              <a:t>ota. Pata </a:t>
            </a:r>
            <a:r>
              <a:rPr lang="cs-CZ" sz="1000" baseline="0"/>
              <a:t>cca</a:t>
            </a:r>
            <a:r>
              <a:rPr lang="en-US" sz="1000" baseline="0"/>
              <a:t> 14</a:t>
            </a:r>
            <a:r>
              <a:rPr lang="cs-CZ" sz="1000" baseline="0"/>
              <a:t>°C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'RR 21 kW'!$E$3</c:f>
              <c:strCache>
                <c:ptCount val="1"/>
                <c:pt idx="0">
                  <c:v>plyn kW</c:v>
                </c:pt>
              </c:strCache>
            </c:strRef>
          </c:tx>
          <c:xVal>
            <c:numRef>
              <c:f>'RR 21 kW'!$C$13:$C$37</c:f>
              <c:numCache>
                <c:formatCode>General</c:formatCode>
                <c:ptCount val="25"/>
                <c:pt idx="0">
                  <c:v>11.5</c:v>
                </c:pt>
                <c:pt idx="1">
                  <c:v>8.1999999999999993</c:v>
                </c:pt>
                <c:pt idx="2">
                  <c:v>4.5999999999999996</c:v>
                </c:pt>
                <c:pt idx="3">
                  <c:v>0.4</c:v>
                </c:pt>
                <c:pt idx="4">
                  <c:v>-0.9</c:v>
                </c:pt>
                <c:pt idx="5">
                  <c:v>1.5</c:v>
                </c:pt>
                <c:pt idx="6">
                  <c:v>2</c:v>
                </c:pt>
                <c:pt idx="7">
                  <c:v>7.3</c:v>
                </c:pt>
                <c:pt idx="8">
                  <c:v>9</c:v>
                </c:pt>
                <c:pt idx="9">
                  <c:v>15</c:v>
                </c:pt>
                <c:pt idx="10">
                  <c:v>15.7</c:v>
                </c:pt>
                <c:pt idx="11">
                  <c:v>16.7</c:v>
                </c:pt>
                <c:pt idx="12">
                  <c:v>12.1</c:v>
                </c:pt>
                <c:pt idx="13">
                  <c:v>8</c:v>
                </c:pt>
                <c:pt idx="15">
                  <c:v>0.5</c:v>
                </c:pt>
                <c:pt idx="16">
                  <c:v>-2.6</c:v>
                </c:pt>
                <c:pt idx="17">
                  <c:v>-2.1</c:v>
                </c:pt>
                <c:pt idx="18">
                  <c:v>0.9</c:v>
                </c:pt>
                <c:pt idx="19">
                  <c:v>3.2</c:v>
                </c:pt>
                <c:pt idx="20">
                  <c:v>8.7806451612904635</c:v>
                </c:pt>
                <c:pt idx="21">
                  <c:v>17.053333333333285</c:v>
                </c:pt>
                <c:pt idx="22">
                  <c:v>16.754838709677465</c:v>
                </c:pt>
                <c:pt idx="23">
                  <c:v>14.37741935483885</c:v>
                </c:pt>
                <c:pt idx="24">
                  <c:v>12.863333333333625</c:v>
                </c:pt>
              </c:numCache>
            </c:numRef>
          </c:xVal>
          <c:yVal>
            <c:numRef>
              <c:f>'RR 21 kW'!$E$13:$E$37</c:f>
              <c:numCache>
                <c:formatCode>General</c:formatCode>
                <c:ptCount val="25"/>
                <c:pt idx="0">
                  <c:v>1.7471180555555554</c:v>
                </c:pt>
                <c:pt idx="1">
                  <c:v>4.8508131720430105</c:v>
                </c:pt>
                <c:pt idx="2">
                  <c:v>8.1708333333333325</c:v>
                </c:pt>
                <c:pt idx="3">
                  <c:v>8.621700268817202</c:v>
                </c:pt>
                <c:pt idx="4">
                  <c:v>9.4277956989247311</c:v>
                </c:pt>
                <c:pt idx="5">
                  <c:v>8.316882183908044</c:v>
                </c:pt>
                <c:pt idx="6">
                  <c:v>7.5696774193548375</c:v>
                </c:pt>
                <c:pt idx="7">
                  <c:v>3.6530555555555551</c:v>
                </c:pt>
                <c:pt idx="8">
                  <c:v>2.4461895161290323</c:v>
                </c:pt>
                <c:pt idx="9">
                  <c:v>0.63179166666666653</c:v>
                </c:pt>
                <c:pt idx="10">
                  <c:v>0.23284274193548377</c:v>
                </c:pt>
                <c:pt idx="11">
                  <c:v>0.13720430107526882</c:v>
                </c:pt>
                <c:pt idx="12">
                  <c:v>1.4647569444444444</c:v>
                </c:pt>
                <c:pt idx="13">
                  <c:v>4.3862836021505371</c:v>
                </c:pt>
                <c:pt idx="14">
                  <c:v>8.3402499999999993</c:v>
                </c:pt>
                <c:pt idx="15">
                  <c:v>8.0615322580645135</c:v>
                </c:pt>
                <c:pt idx="16">
                  <c:v>9.3868077956989229</c:v>
                </c:pt>
                <c:pt idx="17">
                  <c:v>9.1843080357142846</c:v>
                </c:pt>
                <c:pt idx="18">
                  <c:v>7.9112432795698924</c:v>
                </c:pt>
                <c:pt idx="19">
                  <c:v>5.7284097222222217</c:v>
                </c:pt>
                <c:pt idx="20">
                  <c:v>3.1156586021505377</c:v>
                </c:pt>
                <c:pt idx="21">
                  <c:v>0.23648611111111112</c:v>
                </c:pt>
                <c:pt idx="22">
                  <c:v>0.13720430107526882</c:v>
                </c:pt>
                <c:pt idx="23">
                  <c:v>0.83399865591397826</c:v>
                </c:pt>
                <c:pt idx="24">
                  <c:v>1.6059375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A51-4D1B-9251-3865762DC1D1}"/>
            </c:ext>
          </c:extLst>
        </c:ser>
        <c:ser>
          <c:idx val="1"/>
          <c:order val="1"/>
          <c:tx>
            <c:strRef>
              <c:f>'RR 21 kW'!$F$3</c:f>
              <c:strCache>
                <c:ptCount val="1"/>
                <c:pt idx="0">
                  <c:v>ekvit kW</c:v>
                </c:pt>
              </c:strCache>
            </c:strRef>
          </c:tx>
          <c:xVal>
            <c:numRef>
              <c:f>'RR 21 kW'!$C$17:$C$32</c:f>
              <c:numCache>
                <c:formatCode>General</c:formatCode>
                <c:ptCount val="16"/>
                <c:pt idx="0">
                  <c:v>-0.9</c:v>
                </c:pt>
                <c:pt idx="1">
                  <c:v>1.5</c:v>
                </c:pt>
                <c:pt idx="2">
                  <c:v>2</c:v>
                </c:pt>
                <c:pt idx="3">
                  <c:v>7.3</c:v>
                </c:pt>
                <c:pt idx="4">
                  <c:v>9</c:v>
                </c:pt>
                <c:pt idx="5">
                  <c:v>15</c:v>
                </c:pt>
                <c:pt idx="6">
                  <c:v>15.7</c:v>
                </c:pt>
                <c:pt idx="7">
                  <c:v>16.7</c:v>
                </c:pt>
                <c:pt idx="8">
                  <c:v>12.1</c:v>
                </c:pt>
                <c:pt idx="9">
                  <c:v>8</c:v>
                </c:pt>
                <c:pt idx="11">
                  <c:v>0.5</c:v>
                </c:pt>
                <c:pt idx="12">
                  <c:v>-2.6</c:v>
                </c:pt>
                <c:pt idx="13">
                  <c:v>-2.1</c:v>
                </c:pt>
                <c:pt idx="14">
                  <c:v>0.9</c:v>
                </c:pt>
                <c:pt idx="15">
                  <c:v>3.2</c:v>
                </c:pt>
              </c:numCache>
            </c:numRef>
          </c:xVal>
          <c:yVal>
            <c:numRef>
              <c:f>'RR 21 kW'!$F$17:$F$32</c:f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AA51-4D1B-9251-3865762DC1D1}"/>
            </c:ext>
          </c:extLst>
        </c:ser>
        <c:axId val="119315840"/>
        <c:axId val="119473280"/>
      </c:scatterChart>
      <c:valAx>
        <c:axId val="119315840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19473280"/>
        <c:crosses val="autoZero"/>
        <c:crossBetween val="midCat"/>
        <c:minorUnit val="1"/>
      </c:valAx>
      <c:valAx>
        <c:axId val="119473280"/>
        <c:scaling>
          <c:orientation val="minMax"/>
        </c:scaling>
        <c:axPos val="l"/>
        <c:majorGridlines/>
        <c:numFmt formatCode="General" sourceLinked="1"/>
        <c:tickLblPos val="nextTo"/>
        <c:crossAx val="119315840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'RR 21 kW'!$A$14:$A$32</c:f>
              <c:numCache>
                <c:formatCode>mmm/yy</c:formatCode>
                <c:ptCount val="1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</c:numCache>
            </c:numRef>
          </c:xVal>
          <c:yVal>
            <c:numRef>
              <c:f>'RR 21 kW'!$L$14:$L$32</c:f>
              <c:numCache>
                <c:formatCode>General</c:formatCode>
                <c:ptCount val="19"/>
                <c:pt idx="0">
                  <c:v>609.00499999999965</c:v>
                </c:pt>
                <c:pt idx="1">
                  <c:v>6492.0049999999992</c:v>
                </c:pt>
                <c:pt idx="2">
                  <c:v>12906.549999999997</c:v>
                </c:pt>
                <c:pt idx="3">
                  <c:v>19920.829999999998</c:v>
                </c:pt>
                <c:pt idx="4">
                  <c:v>25709.379999999997</c:v>
                </c:pt>
                <c:pt idx="5">
                  <c:v>31341.219999999994</c:v>
                </c:pt>
                <c:pt idx="6">
                  <c:v>33971.419999999991</c:v>
                </c:pt>
                <c:pt idx="7">
                  <c:v>35791.384999999995</c:v>
                </c:pt>
                <c:pt idx="8">
                  <c:v>36246.274999999994</c:v>
                </c:pt>
                <c:pt idx="9">
                  <c:v>36419.509999999995</c:v>
                </c:pt>
                <c:pt idx="10">
                  <c:v>36521.589999999997</c:v>
                </c:pt>
                <c:pt idx="11">
                  <c:v>37576.214999999997</c:v>
                </c:pt>
                <c:pt idx="12">
                  <c:v>40839.609999999993</c:v>
                </c:pt>
                <c:pt idx="13">
                  <c:v>46844.59</c:v>
                </c:pt>
                <c:pt idx="14">
                  <c:v>52842.369999999995</c:v>
                </c:pt>
                <c:pt idx="15">
                  <c:v>59826.154999999992</c:v>
                </c:pt>
                <c:pt idx="16">
                  <c:v>65998.009999999995</c:v>
                </c:pt>
                <c:pt idx="17">
                  <c:v>71883.974999999991</c:v>
                </c:pt>
                <c:pt idx="18">
                  <c:v>76008.429999999993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343-46F7-96B4-D28C21324EB1}"/>
            </c:ext>
          </c:extLst>
        </c:ser>
        <c:ser>
          <c:idx val="1"/>
          <c:order val="1"/>
          <c:xVal>
            <c:numRef>
              <c:f>'RR 21 kW'!$A$14:$A$32</c:f>
              <c:numCache>
                <c:formatCode>mmm/yy</c:formatCode>
                <c:ptCount val="19"/>
                <c:pt idx="0">
                  <c:v>43769</c:v>
                </c:pt>
                <c:pt idx="1">
                  <c:v>43799</c:v>
                </c:pt>
                <c:pt idx="2">
                  <c:v>43830</c:v>
                </c:pt>
                <c:pt idx="3">
                  <c:v>43861</c:v>
                </c:pt>
                <c:pt idx="4">
                  <c:v>43890</c:v>
                </c:pt>
                <c:pt idx="5">
                  <c:v>43921</c:v>
                </c:pt>
                <c:pt idx="6">
                  <c:v>43951</c:v>
                </c:pt>
                <c:pt idx="7">
                  <c:v>43982</c:v>
                </c:pt>
                <c:pt idx="8">
                  <c:v>44012</c:v>
                </c:pt>
                <c:pt idx="9">
                  <c:v>44043</c:v>
                </c:pt>
                <c:pt idx="10">
                  <c:v>44074</c:v>
                </c:pt>
                <c:pt idx="11">
                  <c:v>44104</c:v>
                </c:pt>
                <c:pt idx="12">
                  <c:v>44135</c:v>
                </c:pt>
                <c:pt idx="13">
                  <c:v>44165</c:v>
                </c:pt>
                <c:pt idx="14">
                  <c:v>44196</c:v>
                </c:pt>
                <c:pt idx="15">
                  <c:v>44227</c:v>
                </c:pt>
                <c:pt idx="16">
                  <c:v>44255</c:v>
                </c:pt>
                <c:pt idx="17">
                  <c:v>44286</c:v>
                </c:pt>
                <c:pt idx="18">
                  <c:v>44316</c:v>
                </c:pt>
              </c:numCache>
            </c:numRef>
          </c:xVal>
          <c:yVal>
            <c:numRef>
              <c:f>'RR 21 kW'!$M$14:$M$32</c:f>
              <c:numCache>
                <c:formatCode>General</c:formatCode>
                <c:ptCount val="19"/>
                <c:pt idx="0">
                  <c:v>2589.12</c:v>
                </c:pt>
                <c:pt idx="1">
                  <c:v>6649.92</c:v>
                </c:pt>
                <c:pt idx="2">
                  <c:v>12720.96</c:v>
                </c:pt>
                <c:pt idx="3">
                  <c:v>19372.32</c:v>
                </c:pt>
                <c:pt idx="4">
                  <c:v>24592.32</c:v>
                </c:pt>
                <c:pt idx="5">
                  <c:v>29949.119999999999</c:v>
                </c:pt>
                <c:pt idx="6">
                  <c:v>32843.519999999997</c:v>
                </c:pt>
                <c:pt idx="7">
                  <c:v>35075.519999999997</c:v>
                </c:pt>
                <c:pt idx="8">
                  <c:v>35075.519999999997</c:v>
                </c:pt>
                <c:pt idx="9">
                  <c:v>35075.519999999997</c:v>
                </c:pt>
                <c:pt idx="10">
                  <c:v>35075.519999999997</c:v>
                </c:pt>
                <c:pt idx="11">
                  <c:v>35896.32</c:v>
                </c:pt>
                <c:pt idx="12">
                  <c:v>38574.720000000001</c:v>
                </c:pt>
                <c:pt idx="13">
                  <c:v>44622.720000000001</c:v>
                </c:pt>
                <c:pt idx="14">
                  <c:v>50649.120000000003</c:v>
                </c:pt>
                <c:pt idx="15">
                  <c:v>58059.360000000001</c:v>
                </c:pt>
                <c:pt idx="16">
                  <c:v>64550.880000000005</c:v>
                </c:pt>
                <c:pt idx="17">
                  <c:v>70398.720000000001</c:v>
                </c:pt>
                <c:pt idx="18">
                  <c:v>75064.320000000007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3343-46F7-96B4-D28C21324EB1}"/>
            </c:ext>
          </c:extLst>
        </c:ser>
        <c:axId val="119497856"/>
        <c:axId val="119499392"/>
      </c:scatterChart>
      <c:valAx>
        <c:axId val="119497856"/>
        <c:scaling>
          <c:orientation val="minMax"/>
        </c:scaling>
        <c:axPos val="b"/>
        <c:numFmt formatCode="mmm/yy" sourceLinked="1"/>
        <c:tickLblPos val="nextTo"/>
        <c:crossAx val="119499392"/>
        <c:crosses val="autoZero"/>
        <c:crossBetween val="midCat"/>
      </c:valAx>
      <c:valAx>
        <c:axId val="119499392"/>
        <c:scaling>
          <c:orientation val="minMax"/>
        </c:scaling>
        <c:axPos val="l"/>
        <c:majorGridlines/>
        <c:numFmt formatCode="General" sourceLinked="1"/>
        <c:tickLblPos val="nextTo"/>
        <c:crossAx val="119497856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'vavra 20kW'!$E$4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'vavra 20kW'!$A$5:$A$160</c:f>
              <c:numCache>
                <c:formatCode>d/m/yy\ h:mm;@</c:formatCode>
                <c:ptCount val="156"/>
                <c:pt idx="0">
                  <c:v>42084.638888888891</c:v>
                </c:pt>
                <c:pt idx="1">
                  <c:v>42109.5</c:v>
                </c:pt>
                <c:pt idx="2">
                  <c:v>42110.451388888891</c:v>
                </c:pt>
                <c:pt idx="3">
                  <c:v>42128.6875</c:v>
                </c:pt>
                <c:pt idx="4">
                  <c:v>42135.666666666664</c:v>
                </c:pt>
                <c:pt idx="5">
                  <c:v>42200.448611111111</c:v>
                </c:pt>
                <c:pt idx="6">
                  <c:v>42234.682638888888</c:v>
                </c:pt>
                <c:pt idx="7">
                  <c:v>42289.916666666664</c:v>
                </c:pt>
                <c:pt idx="8">
                  <c:v>42370.625</c:v>
                </c:pt>
                <c:pt idx="9">
                  <c:v>42374.668055555558</c:v>
                </c:pt>
                <c:pt idx="10">
                  <c:v>42376.5</c:v>
                </c:pt>
                <c:pt idx="11">
                  <c:v>42388.804861111108</c:v>
                </c:pt>
                <c:pt idx="12">
                  <c:v>42389.998611111114</c:v>
                </c:pt>
                <c:pt idx="13">
                  <c:v>42391.96597222222</c:v>
                </c:pt>
                <c:pt idx="14">
                  <c:v>42496.530555555553</c:v>
                </c:pt>
                <c:pt idx="15">
                  <c:v>42538.541666666664</c:v>
                </c:pt>
                <c:pt idx="16">
                  <c:v>42538.541666666664</c:v>
                </c:pt>
                <c:pt idx="17">
                  <c:v>42542.012499999997</c:v>
                </c:pt>
                <c:pt idx="18">
                  <c:v>42592.87222222222</c:v>
                </c:pt>
                <c:pt idx="19">
                  <c:v>42626.833333333336</c:v>
                </c:pt>
                <c:pt idx="20">
                  <c:v>42648.333333333336</c:v>
                </c:pt>
                <c:pt idx="21">
                  <c:v>42685.696527777778</c:v>
                </c:pt>
                <c:pt idx="22">
                  <c:v>42696.536111111112</c:v>
                </c:pt>
                <c:pt idx="23">
                  <c:v>42708.9375</c:v>
                </c:pt>
                <c:pt idx="24">
                  <c:v>42711.472222222219</c:v>
                </c:pt>
                <c:pt idx="25">
                  <c:v>42739.616666666669</c:v>
                </c:pt>
                <c:pt idx="26">
                  <c:v>42745.715277777781</c:v>
                </c:pt>
                <c:pt idx="27">
                  <c:v>42760.993055555555</c:v>
                </c:pt>
                <c:pt idx="28">
                  <c:v>42818.740972222222</c:v>
                </c:pt>
                <c:pt idx="29">
                  <c:v>42819.458333333336</c:v>
                </c:pt>
                <c:pt idx="30">
                  <c:v>42855.416666666664</c:v>
                </c:pt>
                <c:pt idx="31">
                  <c:v>42875.468055555553</c:v>
                </c:pt>
                <c:pt idx="32">
                  <c:v>42969.604166666664</c:v>
                </c:pt>
                <c:pt idx="33">
                  <c:v>43016.019444444442</c:v>
                </c:pt>
                <c:pt idx="34">
                  <c:v>43039.81527777778</c:v>
                </c:pt>
                <c:pt idx="35">
                  <c:v>43097.885416666664</c:v>
                </c:pt>
                <c:pt idx="36">
                  <c:v>43121.738888888889</c:v>
                </c:pt>
                <c:pt idx="37">
                  <c:v>43163.362500000003</c:v>
                </c:pt>
                <c:pt idx="38">
                  <c:v>43169.772222222222</c:v>
                </c:pt>
                <c:pt idx="39">
                  <c:v>43172.538194444445</c:v>
                </c:pt>
                <c:pt idx="40">
                  <c:v>43190.770833333336</c:v>
                </c:pt>
                <c:pt idx="41">
                  <c:v>43191.458333333336</c:v>
                </c:pt>
                <c:pt idx="42">
                  <c:v>43216.587500000001</c:v>
                </c:pt>
                <c:pt idx="43">
                  <c:v>43237.709722222222</c:v>
                </c:pt>
                <c:pt idx="44">
                  <c:v>43255.576388888891</c:v>
                </c:pt>
                <c:pt idx="45">
                  <c:v>43338.46875</c:v>
                </c:pt>
                <c:pt idx="46">
                  <c:v>43368.458333333336</c:v>
                </c:pt>
                <c:pt idx="47">
                  <c:v>43394.470138888886</c:v>
                </c:pt>
                <c:pt idx="48">
                  <c:v>43403.694444444445</c:v>
                </c:pt>
                <c:pt idx="49">
                  <c:v>43413.487500000003</c:v>
                </c:pt>
                <c:pt idx="50">
                  <c:v>43419.815972222219</c:v>
                </c:pt>
                <c:pt idx="51">
                  <c:v>43422.942361111112</c:v>
                </c:pt>
                <c:pt idx="52">
                  <c:v>43427.918749999997</c:v>
                </c:pt>
                <c:pt idx="53">
                  <c:v>43451.541666666664</c:v>
                </c:pt>
                <c:pt idx="54">
                  <c:v>43458.843055555553</c:v>
                </c:pt>
                <c:pt idx="55">
                  <c:v>43459.817361111112</c:v>
                </c:pt>
                <c:pt idx="56">
                  <c:v>43467.469444444447</c:v>
                </c:pt>
                <c:pt idx="57">
                  <c:v>43468.955555555556</c:v>
                </c:pt>
                <c:pt idx="58">
                  <c:v>43484.676388888889</c:v>
                </c:pt>
                <c:pt idx="59">
                  <c:v>43488.499305555553</c:v>
                </c:pt>
                <c:pt idx="60">
                  <c:v>43494.290277777778</c:v>
                </c:pt>
                <c:pt idx="61">
                  <c:v>43509.333333333336</c:v>
                </c:pt>
                <c:pt idx="62">
                  <c:v>43534.354861111111</c:v>
                </c:pt>
                <c:pt idx="63">
                  <c:v>43540.474305555559</c:v>
                </c:pt>
                <c:pt idx="64">
                  <c:v>43559.373611111114</c:v>
                </c:pt>
                <c:pt idx="65">
                  <c:v>43652.401388888888</c:v>
                </c:pt>
                <c:pt idx="66">
                  <c:v>43686.491666666669</c:v>
                </c:pt>
                <c:pt idx="67">
                  <c:v>43724.661111111112</c:v>
                </c:pt>
                <c:pt idx="68">
                  <c:v>43743.465277777781</c:v>
                </c:pt>
                <c:pt idx="69">
                  <c:v>43753.881944444445</c:v>
                </c:pt>
                <c:pt idx="70">
                  <c:v>43767.864583333336</c:v>
                </c:pt>
                <c:pt idx="71">
                  <c:v>43777.332638888889</c:v>
                </c:pt>
                <c:pt idx="72">
                  <c:v>43778.408333333333</c:v>
                </c:pt>
                <c:pt idx="73">
                  <c:v>43846.884722222225</c:v>
                </c:pt>
                <c:pt idx="74">
                  <c:v>43864.794444444444</c:v>
                </c:pt>
                <c:pt idx="75">
                  <c:v>43893.530555555553</c:v>
                </c:pt>
                <c:pt idx="76">
                  <c:v>43924.53125</c:v>
                </c:pt>
                <c:pt idx="77">
                  <c:v>44071.548611111109</c:v>
                </c:pt>
                <c:pt idx="78" formatCode="dd/mm/yy\ hh:mm">
                  <c:v>44078.701388888891</c:v>
                </c:pt>
                <c:pt idx="79">
                  <c:v>44096.444444444445</c:v>
                </c:pt>
                <c:pt idx="80">
                  <c:v>44098.759722222225</c:v>
                </c:pt>
                <c:pt idx="81">
                  <c:v>44101.768750000003</c:v>
                </c:pt>
                <c:pt idx="82">
                  <c:v>44103.455555555556</c:v>
                </c:pt>
                <c:pt idx="83">
                  <c:v>44112.70416666667</c:v>
                </c:pt>
                <c:pt idx="84">
                  <c:v>44115.870138888888</c:v>
                </c:pt>
                <c:pt idx="85">
                  <c:v>44116.324305555558</c:v>
                </c:pt>
                <c:pt idx="86">
                  <c:v>44120.3</c:v>
                </c:pt>
                <c:pt idx="87">
                  <c:v>44126.92291666667</c:v>
                </c:pt>
                <c:pt idx="88">
                  <c:v>44130.691666666666</c:v>
                </c:pt>
                <c:pt idx="89">
                  <c:v>44133.013888888891</c:v>
                </c:pt>
                <c:pt idx="90">
                  <c:v>44134.89166666667</c:v>
                </c:pt>
                <c:pt idx="91">
                  <c:v>44137.481944444444</c:v>
                </c:pt>
                <c:pt idx="92">
                  <c:v>44140.72152777778</c:v>
                </c:pt>
                <c:pt idx="93">
                  <c:v>44142.439583333333</c:v>
                </c:pt>
                <c:pt idx="94">
                  <c:v>44143.92083333333</c:v>
                </c:pt>
                <c:pt idx="95">
                  <c:v>44146.525694444441</c:v>
                </c:pt>
                <c:pt idx="96">
                  <c:v>44147.955555555556</c:v>
                </c:pt>
                <c:pt idx="97">
                  <c:v>44149.865972222222</c:v>
                </c:pt>
                <c:pt idx="98">
                  <c:v>44151.773611111108</c:v>
                </c:pt>
                <c:pt idx="99">
                  <c:v>44153.378472222219</c:v>
                </c:pt>
                <c:pt idx="100">
                  <c:v>44154.888888888891</c:v>
                </c:pt>
                <c:pt idx="101">
                  <c:v>44156.706944444442</c:v>
                </c:pt>
                <c:pt idx="102">
                  <c:v>44157.94027777778</c:v>
                </c:pt>
                <c:pt idx="103">
                  <c:v>44159.366666666669</c:v>
                </c:pt>
                <c:pt idx="104">
                  <c:v>44160.856249999997</c:v>
                </c:pt>
                <c:pt idx="105">
                  <c:v>44163.017361111109</c:v>
                </c:pt>
                <c:pt idx="106">
                  <c:v>44164.366666666669</c:v>
                </c:pt>
                <c:pt idx="107">
                  <c:v>44165.543749999997</c:v>
                </c:pt>
                <c:pt idx="108">
                  <c:v>44166.952777777777</c:v>
                </c:pt>
                <c:pt idx="109">
                  <c:v>44167.955555555556</c:v>
                </c:pt>
                <c:pt idx="110">
                  <c:v>44168.923611111109</c:v>
                </c:pt>
                <c:pt idx="111">
                  <c:v>44169.967361111114</c:v>
                </c:pt>
                <c:pt idx="112">
                  <c:v>44170.921527777777</c:v>
                </c:pt>
                <c:pt idx="113">
                  <c:v>44172.414583333331</c:v>
                </c:pt>
                <c:pt idx="114">
                  <c:v>44173.95416666667</c:v>
                </c:pt>
                <c:pt idx="115">
                  <c:v>44175.783333333333</c:v>
                </c:pt>
                <c:pt idx="116">
                  <c:v>44178.548611111109</c:v>
                </c:pt>
                <c:pt idx="117">
                  <c:v>44180.920138888891</c:v>
                </c:pt>
                <c:pt idx="118">
                  <c:v>44184.728472222225</c:v>
                </c:pt>
                <c:pt idx="119">
                  <c:v>44187.884027777778</c:v>
                </c:pt>
                <c:pt idx="120">
                  <c:v>44189.976388888892</c:v>
                </c:pt>
                <c:pt idx="121">
                  <c:v>44191.697916666664</c:v>
                </c:pt>
                <c:pt idx="122">
                  <c:v>44192.960416666669</c:v>
                </c:pt>
                <c:pt idx="123">
                  <c:v>44196.895138888889</c:v>
                </c:pt>
                <c:pt idx="124">
                  <c:v>44199.726388888892</c:v>
                </c:pt>
                <c:pt idx="125">
                  <c:v>44209.336805555555</c:v>
                </c:pt>
                <c:pt idx="126">
                  <c:v>44237.875</c:v>
                </c:pt>
                <c:pt idx="127">
                  <c:v>44253.368055555555</c:v>
                </c:pt>
                <c:pt idx="128">
                  <c:v>44274.744444444441</c:v>
                </c:pt>
                <c:pt idx="129">
                  <c:v>44284.72152777778</c:v>
                </c:pt>
                <c:pt idx="130">
                  <c:v>44307.313194444447</c:v>
                </c:pt>
                <c:pt idx="131">
                  <c:v>44331.776388888888</c:v>
                </c:pt>
                <c:pt idx="132">
                  <c:v>44349.402083333334</c:v>
                </c:pt>
                <c:pt idx="133">
                  <c:v>44376.75</c:v>
                </c:pt>
                <c:pt idx="134">
                  <c:v>44424.631944444445</c:v>
                </c:pt>
                <c:pt idx="135">
                  <c:v>44467.4375</c:v>
                </c:pt>
                <c:pt idx="136">
                  <c:v>44482.34097222222</c:v>
                </c:pt>
                <c:pt idx="137">
                  <c:v>44483.849305555559</c:v>
                </c:pt>
                <c:pt idx="138">
                  <c:v>44529.458333333336</c:v>
                </c:pt>
                <c:pt idx="139">
                  <c:v>44556.593055555553</c:v>
                </c:pt>
                <c:pt idx="140">
                  <c:v>44556.88958333333</c:v>
                </c:pt>
                <c:pt idx="141">
                  <c:v>44622.59375</c:v>
                </c:pt>
                <c:pt idx="142">
                  <c:v>44634.831250000003</c:v>
                </c:pt>
                <c:pt idx="143">
                  <c:v>44635.320138888892</c:v>
                </c:pt>
                <c:pt idx="144">
                  <c:v>44636.332638888889</c:v>
                </c:pt>
                <c:pt idx="145">
                  <c:v>44638.368750000001</c:v>
                </c:pt>
                <c:pt idx="146">
                  <c:v>44640.477777777778</c:v>
                </c:pt>
                <c:pt idx="147">
                  <c:v>44640.82708333333</c:v>
                </c:pt>
                <c:pt idx="148">
                  <c:v>44651.572222222225</c:v>
                </c:pt>
                <c:pt idx="149">
                  <c:v>44653.897916666669</c:v>
                </c:pt>
                <c:pt idx="150">
                  <c:v>44677.694444444445</c:v>
                </c:pt>
                <c:pt idx="151">
                  <c:v>44690.382638888892</c:v>
                </c:pt>
                <c:pt idx="152">
                  <c:v>44713.272916666669</c:v>
                </c:pt>
                <c:pt idx="153">
                  <c:v>44721.942361111112</c:v>
                </c:pt>
                <c:pt idx="154">
                  <c:v>44722.892361111109</c:v>
                </c:pt>
                <c:pt idx="155">
                  <c:v>44727.929861111108</c:v>
                </c:pt>
              </c:numCache>
            </c:numRef>
          </c:xVal>
          <c:yVal>
            <c:numRef>
              <c:f>'vavra 20kW'!$E$5:$E$160</c:f>
              <c:numCache>
                <c:formatCode>General</c:formatCode>
                <c:ptCount val="156"/>
                <c:pt idx="1">
                  <c:v>5.4567310055869953</c:v>
                </c:pt>
                <c:pt idx="2">
                  <c:v>5.0394656934219624</c:v>
                </c:pt>
                <c:pt idx="3">
                  <c:v>3.1453513823308965</c:v>
                </c:pt>
                <c:pt idx="4">
                  <c:v>2.0731138208962463</c:v>
                </c:pt>
                <c:pt idx="5">
                  <c:v>2.0840396629718283</c:v>
                </c:pt>
                <c:pt idx="6">
                  <c:v>2.0348887843074581</c:v>
                </c:pt>
                <c:pt idx="7">
                  <c:v>1.8153222575656762</c:v>
                </c:pt>
                <c:pt idx="8">
                  <c:v>5.5582293469281021</c:v>
                </c:pt>
                <c:pt idx="9">
                  <c:v>9.1758417897582341</c:v>
                </c:pt>
                <c:pt idx="10">
                  <c:v>9.5013079605865691</c:v>
                </c:pt>
                <c:pt idx="11">
                  <c:v>9.19675779107396</c:v>
                </c:pt>
                <c:pt idx="12">
                  <c:v>10.36439720762818</c:v>
                </c:pt>
                <c:pt idx="13">
                  <c:v>11.001235404191025</c:v>
                </c:pt>
                <c:pt idx="14">
                  <c:v>6.3523766651391949</c:v>
                </c:pt>
                <c:pt idx="15">
                  <c:v>2.3702281092965198</c:v>
                </c:pt>
                <c:pt idx="17">
                  <c:v>2.4820660264109109</c:v>
                </c:pt>
                <c:pt idx="18">
                  <c:v>1.9091956907615837</c:v>
                </c:pt>
                <c:pt idx="19">
                  <c:v>1.951333295844679</c:v>
                </c:pt>
                <c:pt idx="20">
                  <c:v>2.2841109593023243</c:v>
                </c:pt>
                <c:pt idx="21">
                  <c:v>5.9613607270973388</c:v>
                </c:pt>
                <c:pt idx="22">
                  <c:v>7.9440950028822357</c:v>
                </c:pt>
                <c:pt idx="23">
                  <c:v>7.6605666760003475</c:v>
                </c:pt>
                <c:pt idx="24">
                  <c:v>9.3226139178201368</c:v>
                </c:pt>
                <c:pt idx="25">
                  <c:v>8.7150478261926292</c:v>
                </c:pt>
                <c:pt idx="26">
                  <c:v>10.881179924843973</c:v>
                </c:pt>
                <c:pt idx="27">
                  <c:v>10.65509161363919</c:v>
                </c:pt>
                <c:pt idx="28">
                  <c:v>7.7676310112196738</c:v>
                </c:pt>
                <c:pt idx="29">
                  <c:v>5.770138141313887</c:v>
                </c:pt>
                <c:pt idx="30">
                  <c:v>3.4774194090387072</c:v>
                </c:pt>
                <c:pt idx="31">
                  <c:v>2.2679560504259579</c:v>
                </c:pt>
                <c:pt idx="32">
                  <c:v>1.607509159314237</c:v>
                </c:pt>
                <c:pt idx="33">
                  <c:v>2.0949742885783396</c:v>
                </c:pt>
                <c:pt idx="34">
                  <c:v>4.3337501225697741</c:v>
                </c:pt>
                <c:pt idx="35">
                  <c:v>8.1207264909538157</c:v>
                </c:pt>
                <c:pt idx="36">
                  <c:v>7.9170698360933427</c:v>
                </c:pt>
                <c:pt idx="37">
                  <c:v>8.1871682488566133</c:v>
                </c:pt>
                <c:pt idx="38">
                  <c:v>8.9292531744356793</c:v>
                </c:pt>
                <c:pt idx="39">
                  <c:v>6.0006932462943201</c:v>
                </c:pt>
                <c:pt idx="40">
                  <c:v>7.7811206932006129</c:v>
                </c:pt>
                <c:pt idx="41">
                  <c:v>4.2354166666666666</c:v>
                </c:pt>
                <c:pt idx="42">
                  <c:v>2.3003137124855728</c:v>
                </c:pt>
                <c:pt idx="43">
                  <c:v>2.0167044516045989</c:v>
                </c:pt>
                <c:pt idx="44">
                  <c:v>1.9490818563430563</c:v>
                </c:pt>
                <c:pt idx="45">
                  <c:v>1.7584526025217104</c:v>
                </c:pt>
                <c:pt idx="46">
                  <c:v>1.6372464327890286</c:v>
                </c:pt>
                <c:pt idx="47">
                  <c:v>2.3688843607341212</c:v>
                </c:pt>
                <c:pt idx="48">
                  <c:v>3.9565213505969767</c:v>
                </c:pt>
                <c:pt idx="49">
                  <c:v>4.3245292086219616</c:v>
                </c:pt>
                <c:pt idx="50">
                  <c:v>4.421222857460652</c:v>
                </c:pt>
                <c:pt idx="51">
                  <c:v>6.4550233673830641</c:v>
                </c:pt>
                <c:pt idx="52">
                  <c:v>8.9151277142134688</c:v>
                </c:pt>
                <c:pt idx="53">
                  <c:v>8.1463972043388289</c:v>
                </c:pt>
                <c:pt idx="54">
                  <c:v>8.0839303975649806</c:v>
                </c:pt>
                <c:pt idx="55">
                  <c:v>6.6576040626986517</c:v>
                </c:pt>
                <c:pt idx="56">
                  <c:v>6.5721305200100204</c:v>
                </c:pt>
                <c:pt idx="57">
                  <c:v>7.4564550000082441</c:v>
                </c:pt>
                <c:pt idx="58">
                  <c:v>7.6296232308509975</c:v>
                </c:pt>
                <c:pt idx="59">
                  <c:v>10.462471662132122</c:v>
                </c:pt>
                <c:pt idx="60">
                  <c:v>10.792721357472011</c:v>
                </c:pt>
                <c:pt idx="61">
                  <c:v>9.5164615501787022</c:v>
                </c:pt>
                <c:pt idx="62">
                  <c:v>7.1059587632879158</c:v>
                </c:pt>
                <c:pt idx="63">
                  <c:v>6.4746851112080961</c:v>
                </c:pt>
                <c:pt idx="64">
                  <c:v>4.3106920742239341</c:v>
                </c:pt>
                <c:pt idx="65">
                  <c:v>1.9777769453569105</c:v>
                </c:pt>
                <c:pt idx="66">
                  <c:v>1.2792991057240479</c:v>
                </c:pt>
                <c:pt idx="67">
                  <c:v>1.4070620697183855</c:v>
                </c:pt>
                <c:pt idx="68">
                  <c:v>1.8735764015065806</c:v>
                </c:pt>
                <c:pt idx="69">
                  <c:v>3.7399068000008526</c:v>
                </c:pt>
                <c:pt idx="70">
                  <c:v>2.780186818971607</c:v>
                </c:pt>
                <c:pt idx="71">
                  <c:v>5.4219993692253006</c:v>
                </c:pt>
                <c:pt idx="72">
                  <c:v>5.1205613298937305</c:v>
                </c:pt>
                <c:pt idx="73">
                  <c:v>7.7738900786966889</c:v>
                </c:pt>
                <c:pt idx="74">
                  <c:v>8.0653894920526206</c:v>
                </c:pt>
                <c:pt idx="75">
                  <c:v>7.1272666384730998</c:v>
                </c:pt>
                <c:pt idx="76">
                  <c:v>5.009046768665204</c:v>
                </c:pt>
                <c:pt idx="77">
                  <c:v>1.6946954710564432</c:v>
                </c:pt>
                <c:pt idx="78">
                  <c:v>1.3713275825236311</c:v>
                </c:pt>
                <c:pt idx="79">
                  <c:v>1.3128246692759744</c:v>
                </c:pt>
                <c:pt idx="80">
                  <c:v>1.6132897720442609</c:v>
                </c:pt>
                <c:pt idx="81">
                  <c:v>3.3334068312944547</c:v>
                </c:pt>
                <c:pt idx="82">
                  <c:v>5.2048650061822048</c:v>
                </c:pt>
                <c:pt idx="83">
                  <c:v>3.1339920783892765</c:v>
                </c:pt>
                <c:pt idx="84">
                  <c:v>4.0037480149214657</c:v>
                </c:pt>
                <c:pt idx="85">
                  <c:v>5.9609798164690329</c:v>
                </c:pt>
                <c:pt idx="86">
                  <c:v>5.8342661135358682</c:v>
                </c:pt>
                <c:pt idx="87">
                  <c:v>6.7713161056931055</c:v>
                </c:pt>
                <c:pt idx="88">
                  <c:v>4.994954007744858</c:v>
                </c:pt>
                <c:pt idx="89">
                  <c:v>5.1719301136305962</c:v>
                </c:pt>
                <c:pt idx="90">
                  <c:v>5.7351802144919457</c:v>
                </c:pt>
                <c:pt idx="91">
                  <c:v>5.1597867024207034</c:v>
                </c:pt>
                <c:pt idx="92">
                  <c:v>3.535328167200066</c:v>
                </c:pt>
                <c:pt idx="93">
                  <c:v>6.8186031123775317</c:v>
                </c:pt>
                <c:pt idx="94">
                  <c:v>8.1603075949524122</c:v>
                </c:pt>
                <c:pt idx="95">
                  <c:v>8.1163365235944198</c:v>
                </c:pt>
                <c:pt idx="96">
                  <c:v>8.410636522559118</c:v>
                </c:pt>
                <c:pt idx="97">
                  <c:v>6.1080897491851003</c:v>
                </c:pt>
                <c:pt idx="98">
                  <c:v>6.3514413178103819</c:v>
                </c:pt>
                <c:pt idx="99">
                  <c:v>7.3290925573353931</c:v>
                </c:pt>
                <c:pt idx="100">
                  <c:v>6.4116613792896926</c:v>
                </c:pt>
                <c:pt idx="101">
                  <c:v>7.0706932391284223</c:v>
                </c:pt>
                <c:pt idx="102">
                  <c:v>8.7831094594308947</c:v>
                </c:pt>
                <c:pt idx="103">
                  <c:v>8.3129310613436154</c:v>
                </c:pt>
                <c:pt idx="104">
                  <c:v>8.8135525874411123</c:v>
                </c:pt>
                <c:pt idx="105">
                  <c:v>10.103330591253528</c:v>
                </c:pt>
                <c:pt idx="106">
                  <c:v>10.03400072050891</c:v>
                </c:pt>
                <c:pt idx="107">
                  <c:v>10.58059557526442</c:v>
                </c:pt>
                <c:pt idx="108">
                  <c:v>9.379654805311441</c:v>
                </c:pt>
                <c:pt idx="109">
                  <c:v>10.325640789455418</c:v>
                </c:pt>
                <c:pt idx="110">
                  <c:v>10.795755021545727</c:v>
                </c:pt>
                <c:pt idx="111">
                  <c:v>10.114682235486423</c:v>
                </c:pt>
                <c:pt idx="112">
                  <c:v>10.015410262050317</c:v>
                </c:pt>
                <c:pt idx="113">
                  <c:v>9.3425333023299206</c:v>
                </c:pt>
                <c:pt idx="114">
                  <c:v>8.365010960728581</c:v>
                </c:pt>
                <c:pt idx="115">
                  <c:v>7.9678317767822922</c:v>
                </c:pt>
                <c:pt idx="116">
                  <c:v>8.9244207182356678</c:v>
                </c:pt>
                <c:pt idx="117">
                  <c:v>8.7261241581141196</c:v>
                </c:pt>
                <c:pt idx="118">
                  <c:v>9.2436995623610834</c:v>
                </c:pt>
                <c:pt idx="119">
                  <c:v>8.715100550182374</c:v>
                </c:pt>
                <c:pt idx="120">
                  <c:v>6.394132492523906</c:v>
                </c:pt>
                <c:pt idx="121">
                  <c:v>6.4284296490727657</c:v>
                </c:pt>
                <c:pt idx="122">
                  <c:v>9.3410646864354465</c:v>
                </c:pt>
                <c:pt idx="123">
                  <c:v>9.1323536886733976</c:v>
                </c:pt>
                <c:pt idx="124">
                  <c:v>9.9603536423741872</c:v>
                </c:pt>
                <c:pt idx="125">
                  <c:v>9.8407688922648795</c:v>
                </c:pt>
                <c:pt idx="126">
                  <c:v>10.368789760311193</c:v>
                </c:pt>
                <c:pt idx="127">
                  <c:v>11.192799506948148</c:v>
                </c:pt>
                <c:pt idx="128">
                  <c:v>8.7979392599582535</c:v>
                </c:pt>
                <c:pt idx="129">
                  <c:v>7.3691898726208382</c:v>
                </c:pt>
                <c:pt idx="130">
                  <c:v>5.6917438306896209</c:v>
                </c:pt>
                <c:pt idx="131">
                  <c:v>2.8316624946777873</c:v>
                </c:pt>
                <c:pt idx="132">
                  <c:v>2.0217220204087516</c:v>
                </c:pt>
                <c:pt idx="133">
                  <c:v>1.4458041822198966</c:v>
                </c:pt>
                <c:pt idx="134">
                  <c:v>1.1295312617838795</c:v>
                </c:pt>
                <c:pt idx="135">
                  <c:v>1.0623084636599927</c:v>
                </c:pt>
                <c:pt idx="136">
                  <c:v>2.3894973160619304</c:v>
                </c:pt>
                <c:pt idx="137">
                  <c:v>6.407038812131777</c:v>
                </c:pt>
                <c:pt idx="138">
                  <c:v>6.1638559099838677</c:v>
                </c:pt>
                <c:pt idx="139">
                  <c:v>8.5365240236489441</c:v>
                </c:pt>
                <c:pt idx="140">
                  <c:v>10.415435128842008</c:v>
                </c:pt>
                <c:pt idx="141">
                  <c:v>7.5585918923199786</c:v>
                </c:pt>
                <c:pt idx="142">
                  <c:v>8.1969978549522011</c:v>
                </c:pt>
                <c:pt idx="143">
                  <c:v>6.7210286931778551</c:v>
                </c:pt>
                <c:pt idx="144">
                  <c:v>6.6315121399364028</c:v>
                </c:pt>
                <c:pt idx="145">
                  <c:v>5.4352241132300048</c:v>
                </c:pt>
                <c:pt idx="146">
                  <c:v>5.0356412578230652</c:v>
                </c:pt>
                <c:pt idx="147">
                  <c:v>4.0207324056080651</c:v>
                </c:pt>
                <c:pt idx="148">
                  <c:v>3.5652720868590269</c:v>
                </c:pt>
                <c:pt idx="149">
                  <c:v>6.952932845627509</c:v>
                </c:pt>
                <c:pt idx="150">
                  <c:v>4.2779144570579986</c:v>
                </c:pt>
                <c:pt idx="151">
                  <c:v>1.8737959936508681</c:v>
                </c:pt>
                <c:pt idx="152">
                  <c:v>1.4344547509253385</c:v>
                </c:pt>
                <c:pt idx="153">
                  <c:v>1.4513704902277145</c:v>
                </c:pt>
                <c:pt idx="154">
                  <c:v>1.2915791666693777</c:v>
                </c:pt>
                <c:pt idx="155">
                  <c:v>1.3527269230773087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C0AE-4408-80B2-59339EBCD966}"/>
            </c:ext>
          </c:extLst>
        </c:ser>
        <c:ser>
          <c:idx val="1"/>
          <c:order val="1"/>
          <c:tx>
            <c:strRef>
              <c:f>'vavra 20kW'!$F$4</c:f>
              <c:strCache>
                <c:ptCount val="1"/>
                <c:pt idx="0">
                  <c:v>kW ztráty</c:v>
                </c:pt>
              </c:strCache>
            </c:strRef>
          </c:tx>
          <c:marker>
            <c:symbol val="none"/>
          </c:marker>
          <c:xVal>
            <c:numRef>
              <c:f>'vavra 20kW'!$A$5:$A$160</c:f>
              <c:numCache>
                <c:formatCode>d/m/yy\ h:mm;@</c:formatCode>
                <c:ptCount val="156"/>
                <c:pt idx="0">
                  <c:v>42084.638888888891</c:v>
                </c:pt>
                <c:pt idx="1">
                  <c:v>42109.5</c:v>
                </c:pt>
                <c:pt idx="2">
                  <c:v>42110.451388888891</c:v>
                </c:pt>
                <c:pt idx="3">
                  <c:v>42128.6875</c:v>
                </c:pt>
                <c:pt idx="4">
                  <c:v>42135.666666666664</c:v>
                </c:pt>
                <c:pt idx="5">
                  <c:v>42200.448611111111</c:v>
                </c:pt>
                <c:pt idx="6">
                  <c:v>42234.682638888888</c:v>
                </c:pt>
                <c:pt idx="7">
                  <c:v>42289.916666666664</c:v>
                </c:pt>
                <c:pt idx="8">
                  <c:v>42370.625</c:v>
                </c:pt>
                <c:pt idx="9">
                  <c:v>42374.668055555558</c:v>
                </c:pt>
                <c:pt idx="10">
                  <c:v>42376.5</c:v>
                </c:pt>
                <c:pt idx="11">
                  <c:v>42388.804861111108</c:v>
                </c:pt>
                <c:pt idx="12">
                  <c:v>42389.998611111114</c:v>
                </c:pt>
                <c:pt idx="13">
                  <c:v>42391.96597222222</c:v>
                </c:pt>
                <c:pt idx="14">
                  <c:v>42496.530555555553</c:v>
                </c:pt>
                <c:pt idx="15">
                  <c:v>42538.541666666664</c:v>
                </c:pt>
                <c:pt idx="16">
                  <c:v>42538.541666666664</c:v>
                </c:pt>
                <c:pt idx="17">
                  <c:v>42542.012499999997</c:v>
                </c:pt>
                <c:pt idx="18">
                  <c:v>42592.87222222222</c:v>
                </c:pt>
                <c:pt idx="19">
                  <c:v>42626.833333333336</c:v>
                </c:pt>
                <c:pt idx="20">
                  <c:v>42648.333333333336</c:v>
                </c:pt>
                <c:pt idx="21">
                  <c:v>42685.696527777778</c:v>
                </c:pt>
                <c:pt idx="22">
                  <c:v>42696.536111111112</c:v>
                </c:pt>
                <c:pt idx="23">
                  <c:v>42708.9375</c:v>
                </c:pt>
                <c:pt idx="24">
                  <c:v>42711.472222222219</c:v>
                </c:pt>
                <c:pt idx="25">
                  <c:v>42739.616666666669</c:v>
                </c:pt>
                <c:pt idx="26">
                  <c:v>42745.715277777781</c:v>
                </c:pt>
                <c:pt idx="27">
                  <c:v>42760.993055555555</c:v>
                </c:pt>
                <c:pt idx="28">
                  <c:v>42818.740972222222</c:v>
                </c:pt>
                <c:pt idx="29">
                  <c:v>42819.458333333336</c:v>
                </c:pt>
                <c:pt idx="30">
                  <c:v>42855.416666666664</c:v>
                </c:pt>
                <c:pt idx="31">
                  <c:v>42875.468055555553</c:v>
                </c:pt>
                <c:pt idx="32">
                  <c:v>42969.604166666664</c:v>
                </c:pt>
                <c:pt idx="33">
                  <c:v>43016.019444444442</c:v>
                </c:pt>
                <c:pt idx="34">
                  <c:v>43039.81527777778</c:v>
                </c:pt>
                <c:pt idx="35">
                  <c:v>43097.885416666664</c:v>
                </c:pt>
                <c:pt idx="36">
                  <c:v>43121.738888888889</c:v>
                </c:pt>
                <c:pt idx="37">
                  <c:v>43163.362500000003</c:v>
                </c:pt>
                <c:pt idx="38">
                  <c:v>43169.772222222222</c:v>
                </c:pt>
                <c:pt idx="39">
                  <c:v>43172.538194444445</c:v>
                </c:pt>
                <c:pt idx="40">
                  <c:v>43190.770833333336</c:v>
                </c:pt>
                <c:pt idx="41">
                  <c:v>43191.458333333336</c:v>
                </c:pt>
                <c:pt idx="42">
                  <c:v>43216.587500000001</c:v>
                </c:pt>
                <c:pt idx="43">
                  <c:v>43237.709722222222</c:v>
                </c:pt>
                <c:pt idx="44">
                  <c:v>43255.576388888891</c:v>
                </c:pt>
                <c:pt idx="45">
                  <c:v>43338.46875</c:v>
                </c:pt>
                <c:pt idx="46">
                  <c:v>43368.458333333336</c:v>
                </c:pt>
                <c:pt idx="47">
                  <c:v>43394.470138888886</c:v>
                </c:pt>
                <c:pt idx="48">
                  <c:v>43403.694444444445</c:v>
                </c:pt>
                <c:pt idx="49">
                  <c:v>43413.487500000003</c:v>
                </c:pt>
                <c:pt idx="50">
                  <c:v>43419.815972222219</c:v>
                </c:pt>
                <c:pt idx="51">
                  <c:v>43422.942361111112</c:v>
                </c:pt>
                <c:pt idx="52">
                  <c:v>43427.918749999997</c:v>
                </c:pt>
                <c:pt idx="53">
                  <c:v>43451.541666666664</c:v>
                </c:pt>
                <c:pt idx="54">
                  <c:v>43458.843055555553</c:v>
                </c:pt>
                <c:pt idx="55">
                  <c:v>43459.817361111112</c:v>
                </c:pt>
                <c:pt idx="56">
                  <c:v>43467.469444444447</c:v>
                </c:pt>
                <c:pt idx="57">
                  <c:v>43468.955555555556</c:v>
                </c:pt>
                <c:pt idx="58">
                  <c:v>43484.676388888889</c:v>
                </c:pt>
                <c:pt idx="59">
                  <c:v>43488.499305555553</c:v>
                </c:pt>
                <c:pt idx="60">
                  <c:v>43494.290277777778</c:v>
                </c:pt>
                <c:pt idx="61">
                  <c:v>43509.333333333336</c:v>
                </c:pt>
                <c:pt idx="62">
                  <c:v>43534.354861111111</c:v>
                </c:pt>
                <c:pt idx="63">
                  <c:v>43540.474305555559</c:v>
                </c:pt>
                <c:pt idx="64">
                  <c:v>43559.373611111114</c:v>
                </c:pt>
                <c:pt idx="65">
                  <c:v>43652.401388888888</c:v>
                </c:pt>
                <c:pt idx="66">
                  <c:v>43686.491666666669</c:v>
                </c:pt>
                <c:pt idx="67">
                  <c:v>43724.661111111112</c:v>
                </c:pt>
                <c:pt idx="68">
                  <c:v>43743.465277777781</c:v>
                </c:pt>
                <c:pt idx="69">
                  <c:v>43753.881944444445</c:v>
                </c:pt>
                <c:pt idx="70">
                  <c:v>43767.864583333336</c:v>
                </c:pt>
                <c:pt idx="71">
                  <c:v>43777.332638888889</c:v>
                </c:pt>
                <c:pt idx="72">
                  <c:v>43778.408333333333</c:v>
                </c:pt>
                <c:pt idx="73">
                  <c:v>43846.884722222225</c:v>
                </c:pt>
                <c:pt idx="74">
                  <c:v>43864.794444444444</c:v>
                </c:pt>
                <c:pt idx="75">
                  <c:v>43893.530555555553</c:v>
                </c:pt>
                <c:pt idx="76">
                  <c:v>43924.53125</c:v>
                </c:pt>
                <c:pt idx="77">
                  <c:v>44071.548611111109</c:v>
                </c:pt>
                <c:pt idx="78" formatCode="dd/mm/yy\ hh:mm">
                  <c:v>44078.701388888891</c:v>
                </c:pt>
                <c:pt idx="79">
                  <c:v>44096.444444444445</c:v>
                </c:pt>
                <c:pt idx="80">
                  <c:v>44098.759722222225</c:v>
                </c:pt>
                <c:pt idx="81">
                  <c:v>44101.768750000003</c:v>
                </c:pt>
                <c:pt idx="82">
                  <c:v>44103.455555555556</c:v>
                </c:pt>
                <c:pt idx="83">
                  <c:v>44112.70416666667</c:v>
                </c:pt>
                <c:pt idx="84">
                  <c:v>44115.870138888888</c:v>
                </c:pt>
                <c:pt idx="85">
                  <c:v>44116.324305555558</c:v>
                </c:pt>
                <c:pt idx="86">
                  <c:v>44120.3</c:v>
                </c:pt>
                <c:pt idx="87">
                  <c:v>44126.92291666667</c:v>
                </c:pt>
                <c:pt idx="88">
                  <c:v>44130.691666666666</c:v>
                </c:pt>
                <c:pt idx="89">
                  <c:v>44133.013888888891</c:v>
                </c:pt>
                <c:pt idx="90">
                  <c:v>44134.89166666667</c:v>
                </c:pt>
                <c:pt idx="91">
                  <c:v>44137.481944444444</c:v>
                </c:pt>
                <c:pt idx="92">
                  <c:v>44140.72152777778</c:v>
                </c:pt>
                <c:pt idx="93">
                  <c:v>44142.439583333333</c:v>
                </c:pt>
                <c:pt idx="94">
                  <c:v>44143.92083333333</c:v>
                </c:pt>
                <c:pt idx="95">
                  <c:v>44146.525694444441</c:v>
                </c:pt>
                <c:pt idx="96">
                  <c:v>44147.955555555556</c:v>
                </c:pt>
                <c:pt idx="97">
                  <c:v>44149.865972222222</c:v>
                </c:pt>
                <c:pt idx="98">
                  <c:v>44151.773611111108</c:v>
                </c:pt>
                <c:pt idx="99">
                  <c:v>44153.378472222219</c:v>
                </c:pt>
                <c:pt idx="100">
                  <c:v>44154.888888888891</c:v>
                </c:pt>
                <c:pt idx="101">
                  <c:v>44156.706944444442</c:v>
                </c:pt>
                <c:pt idx="102">
                  <c:v>44157.94027777778</c:v>
                </c:pt>
                <c:pt idx="103">
                  <c:v>44159.366666666669</c:v>
                </c:pt>
                <c:pt idx="104">
                  <c:v>44160.856249999997</c:v>
                </c:pt>
                <c:pt idx="105">
                  <c:v>44163.017361111109</c:v>
                </c:pt>
                <c:pt idx="106">
                  <c:v>44164.366666666669</c:v>
                </c:pt>
                <c:pt idx="107">
                  <c:v>44165.543749999997</c:v>
                </c:pt>
                <c:pt idx="108">
                  <c:v>44166.952777777777</c:v>
                </c:pt>
                <c:pt idx="109">
                  <c:v>44167.955555555556</c:v>
                </c:pt>
                <c:pt idx="110">
                  <c:v>44168.923611111109</c:v>
                </c:pt>
                <c:pt idx="111">
                  <c:v>44169.967361111114</c:v>
                </c:pt>
                <c:pt idx="112">
                  <c:v>44170.921527777777</c:v>
                </c:pt>
                <c:pt idx="113">
                  <c:v>44172.414583333331</c:v>
                </c:pt>
                <c:pt idx="114">
                  <c:v>44173.95416666667</c:v>
                </c:pt>
                <c:pt idx="115">
                  <c:v>44175.783333333333</c:v>
                </c:pt>
                <c:pt idx="116">
                  <c:v>44178.548611111109</c:v>
                </c:pt>
                <c:pt idx="117">
                  <c:v>44180.920138888891</c:v>
                </c:pt>
                <c:pt idx="118">
                  <c:v>44184.728472222225</c:v>
                </c:pt>
                <c:pt idx="119">
                  <c:v>44187.884027777778</c:v>
                </c:pt>
                <c:pt idx="120">
                  <c:v>44189.976388888892</c:v>
                </c:pt>
                <c:pt idx="121">
                  <c:v>44191.697916666664</c:v>
                </c:pt>
                <c:pt idx="122">
                  <c:v>44192.960416666669</c:v>
                </c:pt>
                <c:pt idx="123">
                  <c:v>44196.895138888889</c:v>
                </c:pt>
                <c:pt idx="124">
                  <c:v>44199.726388888892</c:v>
                </c:pt>
                <c:pt idx="125">
                  <c:v>44209.336805555555</c:v>
                </c:pt>
                <c:pt idx="126">
                  <c:v>44237.875</c:v>
                </c:pt>
                <c:pt idx="127">
                  <c:v>44253.368055555555</c:v>
                </c:pt>
                <c:pt idx="128">
                  <c:v>44274.744444444441</c:v>
                </c:pt>
                <c:pt idx="129">
                  <c:v>44284.72152777778</c:v>
                </c:pt>
                <c:pt idx="130">
                  <c:v>44307.313194444447</c:v>
                </c:pt>
                <c:pt idx="131">
                  <c:v>44331.776388888888</c:v>
                </c:pt>
                <c:pt idx="132">
                  <c:v>44349.402083333334</c:v>
                </c:pt>
                <c:pt idx="133">
                  <c:v>44376.75</c:v>
                </c:pt>
                <c:pt idx="134">
                  <c:v>44424.631944444445</c:v>
                </c:pt>
                <c:pt idx="135">
                  <c:v>44467.4375</c:v>
                </c:pt>
                <c:pt idx="136">
                  <c:v>44482.34097222222</c:v>
                </c:pt>
                <c:pt idx="137">
                  <c:v>44483.849305555559</c:v>
                </c:pt>
                <c:pt idx="138">
                  <c:v>44529.458333333336</c:v>
                </c:pt>
                <c:pt idx="139">
                  <c:v>44556.593055555553</c:v>
                </c:pt>
                <c:pt idx="140">
                  <c:v>44556.88958333333</c:v>
                </c:pt>
                <c:pt idx="141">
                  <c:v>44622.59375</c:v>
                </c:pt>
                <c:pt idx="142">
                  <c:v>44634.831250000003</c:v>
                </c:pt>
                <c:pt idx="143">
                  <c:v>44635.320138888892</c:v>
                </c:pt>
                <c:pt idx="144">
                  <c:v>44636.332638888889</c:v>
                </c:pt>
                <c:pt idx="145">
                  <c:v>44638.368750000001</c:v>
                </c:pt>
                <c:pt idx="146">
                  <c:v>44640.477777777778</c:v>
                </c:pt>
                <c:pt idx="147">
                  <c:v>44640.82708333333</c:v>
                </c:pt>
                <c:pt idx="148">
                  <c:v>44651.572222222225</c:v>
                </c:pt>
                <c:pt idx="149">
                  <c:v>44653.897916666669</c:v>
                </c:pt>
                <c:pt idx="150">
                  <c:v>44677.694444444445</c:v>
                </c:pt>
                <c:pt idx="151">
                  <c:v>44690.382638888892</c:v>
                </c:pt>
                <c:pt idx="152">
                  <c:v>44713.272916666669</c:v>
                </c:pt>
                <c:pt idx="153">
                  <c:v>44721.942361111112</c:v>
                </c:pt>
                <c:pt idx="154">
                  <c:v>44722.892361111109</c:v>
                </c:pt>
                <c:pt idx="155">
                  <c:v>44727.929861111108</c:v>
                </c:pt>
              </c:numCache>
            </c:numRef>
          </c:xVal>
          <c:yVal>
            <c:numRef>
              <c:f>'vavra 20kW'!$F$5:$F$160</c:f>
              <c:numCache>
                <c:formatCode>General</c:formatCode>
                <c:ptCount val="156"/>
                <c:pt idx="0">
                  <c:v>5.2904761904761903</c:v>
                </c:pt>
                <c:pt idx="1">
                  <c:v>5.2904761904761903</c:v>
                </c:pt>
                <c:pt idx="2">
                  <c:v>1.7</c:v>
                </c:pt>
                <c:pt idx="3">
                  <c:v>3.181481481481482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6.1880658436214127</c:v>
                </c:pt>
                <c:pt idx="9">
                  <c:v>13.299999999999985</c:v>
                </c:pt>
                <c:pt idx="10">
                  <c:v>12.066666666666636</c:v>
                </c:pt>
                <c:pt idx="11">
                  <c:v>10.95</c:v>
                </c:pt>
                <c:pt idx="12">
                  <c:v>14.099999999999939</c:v>
                </c:pt>
                <c:pt idx="13">
                  <c:v>15.566666666666636</c:v>
                </c:pt>
                <c:pt idx="14">
                  <c:v>6.4930158730158736</c:v>
                </c:pt>
                <c:pt idx="15">
                  <c:v>1.7</c:v>
                </c:pt>
                <c:pt idx="16">
                  <c:v>1.7</c:v>
                </c:pt>
                <c:pt idx="17">
                  <c:v>1.7</c:v>
                </c:pt>
                <c:pt idx="18">
                  <c:v>1.7</c:v>
                </c:pt>
                <c:pt idx="19">
                  <c:v>1.7</c:v>
                </c:pt>
                <c:pt idx="20">
                  <c:v>1.7</c:v>
                </c:pt>
                <c:pt idx="21">
                  <c:v>5.8207207207207503</c:v>
                </c:pt>
                <c:pt idx="22">
                  <c:v>7.9787878787878448</c:v>
                </c:pt>
                <c:pt idx="23">
                  <c:v>9.1277777777777676</c:v>
                </c:pt>
                <c:pt idx="24">
                  <c:v>11.944444444444322</c:v>
                </c:pt>
                <c:pt idx="25">
                  <c:v>9.7809523809523498</c:v>
                </c:pt>
                <c:pt idx="26">
                  <c:v>14.366666666666665</c:v>
                </c:pt>
                <c:pt idx="27">
                  <c:v>13.28666666666666</c:v>
                </c:pt>
                <c:pt idx="28">
                  <c:v>8.356321839080465</c:v>
                </c:pt>
                <c:pt idx="29">
                  <c:v>5.8333333333332122</c:v>
                </c:pt>
                <c:pt idx="30">
                  <c:v>4.6111111111111249</c:v>
                </c:pt>
                <c:pt idx="31">
                  <c:v>1.7</c:v>
                </c:pt>
                <c:pt idx="32">
                  <c:v>1.7</c:v>
                </c:pt>
                <c:pt idx="33">
                  <c:v>1.7</c:v>
                </c:pt>
                <c:pt idx="34">
                  <c:v>3.1405797101449489</c:v>
                </c:pt>
                <c:pt idx="35">
                  <c:v>8.0643678160918775</c:v>
                </c:pt>
                <c:pt idx="36">
                  <c:v>8.31111111111111</c:v>
                </c:pt>
                <c:pt idx="37">
                  <c:v>11.077777777777824</c:v>
                </c:pt>
                <c:pt idx="38">
                  <c:v>8.1999999999997968</c:v>
                </c:pt>
                <c:pt idx="39">
                  <c:v>4.5222222222219806</c:v>
                </c:pt>
                <c:pt idx="40">
                  <c:v>8.9592592592591913</c:v>
                </c:pt>
                <c:pt idx="41">
                  <c:v>6.5000000000004849</c:v>
                </c:pt>
                <c:pt idx="42">
                  <c:v>1.7</c:v>
                </c:pt>
                <c:pt idx="43">
                  <c:v>1.7</c:v>
                </c:pt>
                <c:pt idx="44">
                  <c:v>1.7</c:v>
                </c:pt>
                <c:pt idx="45">
                  <c:v>1.7</c:v>
                </c:pt>
                <c:pt idx="46">
                  <c:v>1.7</c:v>
                </c:pt>
                <c:pt idx="47">
                  <c:v>2.5256410256409505</c:v>
                </c:pt>
                <c:pt idx="48">
                  <c:v>4.559259259259421</c:v>
                </c:pt>
                <c:pt idx="49">
                  <c:v>4.0200000000000724</c:v>
                </c:pt>
                <c:pt idx="50">
                  <c:v>5.4777777777775754</c:v>
                </c:pt>
                <c:pt idx="51">
                  <c:v>9.9888888888887255</c:v>
                </c:pt>
                <c:pt idx="52">
                  <c:v>9.4066666666665686</c:v>
                </c:pt>
                <c:pt idx="53">
                  <c:v>9.3305555555556765</c:v>
                </c:pt>
                <c:pt idx="54">
                  <c:v>7.8333333333334725</c:v>
                </c:pt>
                <c:pt idx="55">
                  <c:v>8.4333333333335752</c:v>
                </c:pt>
                <c:pt idx="56">
                  <c:v>7.6833333333334242</c:v>
                </c:pt>
                <c:pt idx="57">
                  <c:v>11.833333333333817</c:v>
                </c:pt>
                <c:pt idx="58">
                  <c:v>9.4374999999999538</c:v>
                </c:pt>
                <c:pt idx="59">
                  <c:v>13.766666666666909</c:v>
                </c:pt>
                <c:pt idx="60">
                  <c:v>10.311111111111313</c:v>
                </c:pt>
                <c:pt idx="61">
                  <c:v>9.6288888888888735</c:v>
                </c:pt>
                <c:pt idx="62">
                  <c:v>6.7586666666666382</c:v>
                </c:pt>
                <c:pt idx="63">
                  <c:v>6.4777777777779804</c:v>
                </c:pt>
                <c:pt idx="64">
                  <c:v>4.7280701754386341</c:v>
                </c:pt>
                <c:pt idx="65">
                  <c:v>1.7</c:v>
                </c:pt>
                <c:pt idx="66">
                  <c:v>1.7</c:v>
                </c:pt>
                <c:pt idx="67">
                  <c:v>1.7</c:v>
                </c:pt>
                <c:pt idx="68">
                  <c:v>1.7631578947369437</c:v>
                </c:pt>
                <c:pt idx="69">
                  <c:v>2.7266666666667634</c:v>
                </c:pt>
                <c:pt idx="70">
                  <c:v>2.9428571428574197</c:v>
                </c:pt>
                <c:pt idx="71">
                  <c:v>5.9533333333332852</c:v>
                </c:pt>
                <c:pt idx="72">
                  <c:v>6.1666666666671519</c:v>
                </c:pt>
                <c:pt idx="73">
                  <c:v>7.9980392156864681</c:v>
                </c:pt>
                <c:pt idx="74">
                  <c:v>8.5703703703705045</c:v>
                </c:pt>
                <c:pt idx="75">
                  <c:v>7.0448275862067291</c:v>
                </c:pt>
                <c:pt idx="76">
                  <c:v>7.0849462365591709</c:v>
                </c:pt>
                <c:pt idx="77">
                  <c:v>1.7</c:v>
                </c:pt>
                <c:pt idx="78">
                  <c:v>1.7</c:v>
                </c:pt>
                <c:pt idx="79">
                  <c:v>1.7</c:v>
                </c:pt>
                <c:pt idx="80">
                  <c:v>1.7</c:v>
                </c:pt>
                <c:pt idx="81">
                  <c:v>3.788888888889212</c:v>
                </c:pt>
                <c:pt idx="82">
                  <c:v>4.4000000000007278</c:v>
                </c:pt>
                <c:pt idx="83">
                  <c:v>1.7666666666670441</c:v>
                </c:pt>
                <c:pt idx="84">
                  <c:v>3.0999999999998389</c:v>
                </c:pt>
                <c:pt idx="85">
                  <c:v>5.1666666666671519</c:v>
                </c:pt>
                <c:pt idx="86">
                  <c:v>5.2166666666664243</c:v>
                </c:pt>
                <c:pt idx="87">
                  <c:v>4.6999999999995961</c:v>
                </c:pt>
                <c:pt idx="88">
                  <c:v>2.7999999999997573</c:v>
                </c:pt>
                <c:pt idx="89">
                  <c:v>5.2111111111109496</c:v>
                </c:pt>
                <c:pt idx="90">
                  <c:v>3.5000000000004849</c:v>
                </c:pt>
                <c:pt idx="91">
                  <c:v>2.0111111111114344</c:v>
                </c:pt>
                <c:pt idx="92">
                  <c:v>4.1666666666663428</c:v>
                </c:pt>
                <c:pt idx="93">
                  <c:v>8.6999999999999993</c:v>
                </c:pt>
                <c:pt idx="94">
                  <c:v>8.6999999999999993</c:v>
                </c:pt>
                <c:pt idx="95">
                  <c:v>7.5888888888880803</c:v>
                </c:pt>
                <c:pt idx="96">
                  <c:v>6.7666666666656967</c:v>
                </c:pt>
                <c:pt idx="97">
                  <c:v>5.1333333333343036</c:v>
                </c:pt>
                <c:pt idx="98">
                  <c:v>5.9666666666664243</c:v>
                </c:pt>
                <c:pt idx="99">
                  <c:v>4.2</c:v>
                </c:pt>
                <c:pt idx="100">
                  <c:v>5.7666666666656967</c:v>
                </c:pt>
                <c:pt idx="101">
                  <c:v>9.0666666666661815</c:v>
                </c:pt>
                <c:pt idx="102">
                  <c:v>8.3666666666666671</c:v>
                </c:pt>
                <c:pt idx="103">
                  <c:v>9.0000000000004849</c:v>
                </c:pt>
                <c:pt idx="104">
                  <c:v>10.433333333332362</c:v>
                </c:pt>
                <c:pt idx="105">
                  <c:v>10.366666666666665</c:v>
                </c:pt>
                <c:pt idx="106">
                  <c:v>9.3000000000009706</c:v>
                </c:pt>
                <c:pt idx="107">
                  <c:v>10.033333333333333</c:v>
                </c:pt>
                <c:pt idx="108">
                  <c:v>11.233333333332848</c:v>
                </c:pt>
                <c:pt idx="109">
                  <c:v>11.566666666666181</c:v>
                </c:pt>
                <c:pt idx="110">
                  <c:v>11.566666666666181</c:v>
                </c:pt>
                <c:pt idx="111">
                  <c:v>9.6333333333343028</c:v>
                </c:pt>
                <c:pt idx="112">
                  <c:v>7.1666666666671519</c:v>
                </c:pt>
                <c:pt idx="113">
                  <c:v>5.0666666666661815</c:v>
                </c:pt>
                <c:pt idx="114">
                  <c:v>7.6333333333343036</c:v>
                </c:pt>
                <c:pt idx="115">
                  <c:v>7.600000000000243</c:v>
                </c:pt>
                <c:pt idx="116">
                  <c:v>8.5222222222223838</c:v>
                </c:pt>
                <c:pt idx="117">
                  <c:v>7.7666666666669091</c:v>
                </c:pt>
                <c:pt idx="118">
                  <c:v>8.9666666666664234</c:v>
                </c:pt>
                <c:pt idx="119">
                  <c:v>7.744444444444607</c:v>
                </c:pt>
                <c:pt idx="120">
                  <c:v>4.2666666666656967</c:v>
                </c:pt>
                <c:pt idx="121">
                  <c:v>9.5333333333333332</c:v>
                </c:pt>
                <c:pt idx="122">
                  <c:v>11.166666666667151</c:v>
                </c:pt>
                <c:pt idx="123">
                  <c:v>9.4666666666658177</c:v>
                </c:pt>
                <c:pt idx="124">
                  <c:v>10.6777777777781</c:v>
                </c:pt>
                <c:pt idx="125">
                  <c:v>10.373333333333235</c:v>
                </c:pt>
                <c:pt idx="126">
                  <c:v>10.521428571428745</c:v>
                </c:pt>
                <c:pt idx="127">
                  <c:v>11.024999999999968</c:v>
                </c:pt>
                <c:pt idx="128">
                  <c:v>8.6873015873013095</c:v>
                </c:pt>
                <c:pt idx="129">
                  <c:v>6.4866666666666184</c:v>
                </c:pt>
                <c:pt idx="130">
                  <c:v>6.0130434782608484</c:v>
                </c:pt>
                <c:pt idx="131">
                  <c:v>3.4722222222222019</c:v>
                </c:pt>
                <c:pt idx="132">
                  <c:v>2.255555555555286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3.1755555555552641</c:v>
                </c:pt>
                <c:pt idx="137">
                  <c:v>5.8333333333338189</c:v>
                </c:pt>
                <c:pt idx="138">
                  <c:v>6.3159420289855071</c:v>
                </c:pt>
                <c:pt idx="139">
                  <c:v>9.251282051281958</c:v>
                </c:pt>
                <c:pt idx="140">
                  <c:v>11.5</c:v>
                </c:pt>
                <c:pt idx="141">
                  <c:v>8.1484848484849</c:v>
                </c:pt>
                <c:pt idx="142">
                  <c:v>9.4333333333327669</c:v>
                </c:pt>
                <c:pt idx="143">
                  <c:v>6.1666666666671519</c:v>
                </c:pt>
                <c:pt idx="144">
                  <c:v>5.2333333333328484</c:v>
                </c:pt>
                <c:pt idx="145">
                  <c:v>5.5666666666673938</c:v>
                </c:pt>
                <c:pt idx="146">
                  <c:v>7.1333333333330913</c:v>
                </c:pt>
                <c:pt idx="147">
                  <c:v>10.366666666666665</c:v>
                </c:pt>
                <c:pt idx="148">
                  <c:v>4.8696969696971459</c:v>
                </c:pt>
                <c:pt idx="149">
                  <c:v>9.2666666666669091</c:v>
                </c:pt>
                <c:pt idx="150">
                  <c:v>5.3361111111111512</c:v>
                </c:pt>
                <c:pt idx="151">
                  <c:v>1.7</c:v>
                </c:pt>
                <c:pt idx="152">
                  <c:v>1.7</c:v>
                </c:pt>
                <c:pt idx="153">
                  <c:v>1.7</c:v>
                </c:pt>
                <c:pt idx="154">
                  <c:v>1.7</c:v>
                </c:pt>
                <c:pt idx="155">
                  <c:v>1.7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C0AE-4408-80B2-59339EBCD966}"/>
            </c:ext>
          </c:extLst>
        </c:ser>
        <c:axId val="119537664"/>
        <c:axId val="119539200"/>
      </c:scatterChart>
      <c:valAx>
        <c:axId val="119537664"/>
        <c:scaling>
          <c:orientation val="minMax"/>
        </c:scaling>
        <c:axPos val="b"/>
        <c:majorGridlines/>
        <c:minorGridlines/>
        <c:numFmt formatCode="d/m/yy\ h:mm;@" sourceLinked="1"/>
        <c:tickLblPos val="nextTo"/>
        <c:txPr>
          <a:bodyPr rot="-1020000"/>
          <a:lstStyle/>
          <a:p>
            <a:pPr>
              <a:defRPr/>
            </a:pPr>
            <a:endParaRPr lang="cs-CZ"/>
          </a:p>
        </c:txPr>
        <c:crossAx val="119539200"/>
        <c:crosses val="autoZero"/>
        <c:crossBetween val="midCat"/>
        <c:majorUnit val="180"/>
        <c:minorUnit val="30"/>
      </c:valAx>
      <c:valAx>
        <c:axId val="119539200"/>
        <c:scaling>
          <c:orientation val="minMax"/>
        </c:scaling>
        <c:axPos val="l"/>
        <c:majorGridlines/>
        <c:numFmt formatCode="General" sourceLinked="1"/>
        <c:tickLblPos val="nextTo"/>
        <c:crossAx val="11953766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Plyn (kW) / venkovní teplota (°C)  TZ 20 kW</a:t>
            </a:r>
          </a:p>
          <a:p>
            <a:pPr>
              <a:defRPr/>
            </a:pPr>
            <a:r>
              <a:rPr lang="cs-CZ" sz="1000" baseline="0"/>
              <a:t>max 11,2 kW při -1°C. </a:t>
            </a:r>
          </a:p>
          <a:p>
            <a:pPr>
              <a:defRPr/>
            </a:pPr>
            <a:r>
              <a:rPr lang="cs-CZ" sz="1000" baseline="0"/>
              <a:t>Při průměru 12°C už se netopí - jen ohřev vody 1,5 až 2 kW.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'vavra 20kW'!$E$4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'vavra 20kW'!$C$128:$C$160</c:f>
              <c:numCache>
                <c:formatCode>General</c:formatCode>
                <c:ptCount val="33"/>
                <c:pt idx="0">
                  <c:v>1.3500000000012733</c:v>
                </c:pt>
                <c:pt idx="1">
                  <c:v>-0.46666666666715173</c:v>
                </c:pt>
                <c:pt idx="2">
                  <c:v>-9.9999999998544812E-3</c:v>
                </c:pt>
                <c:pt idx="3">
                  <c:v>-0.232142857143117</c:v>
                </c:pt>
                <c:pt idx="4">
                  <c:v>-0.98749999999995453</c:v>
                </c:pt>
                <c:pt idx="5">
                  <c:v>2.5190476190480346</c:v>
                </c:pt>
                <c:pt idx="6">
                  <c:v>5.8200000000000731</c:v>
                </c:pt>
                <c:pt idx="7">
                  <c:v>6.5304347826087277</c:v>
                </c:pt>
                <c:pt idx="8">
                  <c:v>10.341666666666697</c:v>
                </c:pt>
                <c:pt idx="9">
                  <c:v>12.166666666667071</c:v>
                </c:pt>
                <c:pt idx="10">
                  <c:v>20.362962962962936</c:v>
                </c:pt>
                <c:pt idx="11">
                  <c:v>19.533333333333378</c:v>
                </c:pt>
                <c:pt idx="12">
                  <c:v>15.990697674418824</c:v>
                </c:pt>
                <c:pt idx="13">
                  <c:v>10.786666666667104</c:v>
                </c:pt>
                <c:pt idx="14">
                  <c:v>6.7999999999992724</c:v>
                </c:pt>
                <c:pt idx="15">
                  <c:v>6.0760869565217392</c:v>
                </c:pt>
                <c:pt idx="16">
                  <c:v>1.673076923077063</c:v>
                </c:pt>
                <c:pt idx="17">
                  <c:v>-1.7</c:v>
                </c:pt>
                <c:pt idx="18">
                  <c:v>3.3272727272726499</c:v>
                </c:pt>
                <c:pt idx="19">
                  <c:v>1.4000000000008488</c:v>
                </c:pt>
                <c:pt idx="20">
                  <c:v>6.2999999999992724</c:v>
                </c:pt>
                <c:pt idx="21">
                  <c:v>7.7000000000007276</c:v>
                </c:pt>
                <c:pt idx="22">
                  <c:v>7.1999999999989086</c:v>
                </c:pt>
                <c:pt idx="23">
                  <c:v>4.8500000000003638</c:v>
                </c:pt>
                <c:pt idx="25">
                  <c:v>8.2454545454542814</c:v>
                </c:pt>
                <c:pt idx="26">
                  <c:v>1.6499999999996362</c:v>
                </c:pt>
                <c:pt idx="27">
                  <c:v>7.545833333333273</c:v>
                </c:pt>
                <c:pt idx="28">
                  <c:v>13.553846153845651</c:v>
                </c:pt>
                <c:pt idx="29">
                  <c:v>16.465217391304538</c:v>
                </c:pt>
                <c:pt idx="30">
                  <c:v>18.637500000000273</c:v>
                </c:pt>
                <c:pt idx="31">
                  <c:v>18.700000000000728</c:v>
                </c:pt>
                <c:pt idx="32">
                  <c:v>19.019999999999708</c:v>
                </c:pt>
              </c:numCache>
            </c:numRef>
          </c:xVal>
          <c:yVal>
            <c:numRef>
              <c:f>'vavra 20kW'!$E$128:$E$160</c:f>
              <c:numCache>
                <c:formatCode>General</c:formatCode>
                <c:ptCount val="33"/>
                <c:pt idx="0">
                  <c:v>9.1323536886733976</c:v>
                </c:pt>
                <c:pt idx="1">
                  <c:v>9.9603536423741872</c:v>
                </c:pt>
                <c:pt idx="2">
                  <c:v>9.8407688922648795</c:v>
                </c:pt>
                <c:pt idx="3">
                  <c:v>10.368789760311193</c:v>
                </c:pt>
                <c:pt idx="4">
                  <c:v>11.192799506948148</c:v>
                </c:pt>
                <c:pt idx="5">
                  <c:v>8.7979392599582535</c:v>
                </c:pt>
                <c:pt idx="6">
                  <c:v>7.3691898726208382</c:v>
                </c:pt>
                <c:pt idx="7">
                  <c:v>5.6917438306896209</c:v>
                </c:pt>
                <c:pt idx="8">
                  <c:v>2.8316624946777873</c:v>
                </c:pt>
                <c:pt idx="9">
                  <c:v>2.0217220204087516</c:v>
                </c:pt>
                <c:pt idx="10">
                  <c:v>1.4458041822198966</c:v>
                </c:pt>
                <c:pt idx="11">
                  <c:v>1.1295312617838795</c:v>
                </c:pt>
                <c:pt idx="12">
                  <c:v>1.0623084636599927</c:v>
                </c:pt>
                <c:pt idx="13">
                  <c:v>2.3894973160619304</c:v>
                </c:pt>
                <c:pt idx="14">
                  <c:v>6.407038812131777</c:v>
                </c:pt>
                <c:pt idx="15">
                  <c:v>6.1638559099838677</c:v>
                </c:pt>
                <c:pt idx="16">
                  <c:v>8.5365240236489441</c:v>
                </c:pt>
                <c:pt idx="17">
                  <c:v>10.415435128842008</c:v>
                </c:pt>
                <c:pt idx="18">
                  <c:v>7.5585918923199786</c:v>
                </c:pt>
                <c:pt idx="19">
                  <c:v>8.1969978549522011</c:v>
                </c:pt>
                <c:pt idx="20">
                  <c:v>6.7210286931778551</c:v>
                </c:pt>
                <c:pt idx="21">
                  <c:v>6.6315121399364028</c:v>
                </c:pt>
                <c:pt idx="22">
                  <c:v>5.4352241132300048</c:v>
                </c:pt>
                <c:pt idx="23">
                  <c:v>5.0356412578230652</c:v>
                </c:pt>
                <c:pt idx="24">
                  <c:v>4.0207324056080651</c:v>
                </c:pt>
                <c:pt idx="25">
                  <c:v>3.5652720868590269</c:v>
                </c:pt>
                <c:pt idx="26">
                  <c:v>6.952932845627509</c:v>
                </c:pt>
                <c:pt idx="27">
                  <c:v>4.2779144570579986</c:v>
                </c:pt>
                <c:pt idx="28">
                  <c:v>1.8737959936508681</c:v>
                </c:pt>
                <c:pt idx="29">
                  <c:v>1.4344547509253385</c:v>
                </c:pt>
                <c:pt idx="30">
                  <c:v>1.4513704902277145</c:v>
                </c:pt>
                <c:pt idx="31">
                  <c:v>1.2915791666693777</c:v>
                </c:pt>
                <c:pt idx="32">
                  <c:v>1.3527269230773087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1DA-4AF2-A9A4-20B1B559688A}"/>
            </c:ext>
          </c:extLst>
        </c:ser>
        <c:axId val="119545216"/>
        <c:axId val="119579776"/>
      </c:scatterChart>
      <c:valAx>
        <c:axId val="119545216"/>
        <c:scaling>
          <c:orientation val="minMax"/>
        </c:scaling>
        <c:axPos val="b"/>
        <c:minorGridlines/>
        <c:numFmt formatCode="General" sourceLinked="1"/>
        <c:tickLblPos val="nextTo"/>
        <c:crossAx val="119579776"/>
        <c:crosses val="autoZero"/>
        <c:crossBetween val="midCat"/>
      </c:valAx>
      <c:valAx>
        <c:axId val="119579776"/>
        <c:scaling>
          <c:orientation val="minMax"/>
        </c:scaling>
        <c:axPos val="l"/>
        <c:majorGridlines/>
        <c:numFmt formatCode="General" sourceLinked="1"/>
        <c:tickLblPos val="nextTo"/>
        <c:crossAx val="119545216"/>
        <c:crosses val="autoZero"/>
        <c:crossBetween val="midCat"/>
        <c:majorUnit val="1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suma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'vavra 20kW'!$G$20</c:f>
              <c:strCache>
                <c:ptCount val="1"/>
                <c:pt idx="0">
                  <c:v>suma plyn</c:v>
                </c:pt>
              </c:strCache>
            </c:strRef>
          </c:tx>
          <c:marker>
            <c:symbol val="none"/>
          </c:marker>
          <c:xVal>
            <c:numRef>
              <c:f>'vavra 20kW'!$A$21:$A$160</c:f>
              <c:numCache>
                <c:formatCode>d/m/yy\ h:mm;@</c:formatCode>
                <c:ptCount val="140"/>
                <c:pt idx="0">
                  <c:v>42538.541666666664</c:v>
                </c:pt>
                <c:pt idx="1">
                  <c:v>42542.012499999997</c:v>
                </c:pt>
                <c:pt idx="2">
                  <c:v>42592.87222222222</c:v>
                </c:pt>
                <c:pt idx="3">
                  <c:v>42626.833333333336</c:v>
                </c:pt>
                <c:pt idx="4">
                  <c:v>42648.333333333336</c:v>
                </c:pt>
                <c:pt idx="5">
                  <c:v>42685.696527777778</c:v>
                </c:pt>
                <c:pt idx="6">
                  <c:v>42696.536111111112</c:v>
                </c:pt>
                <c:pt idx="7">
                  <c:v>42708.9375</c:v>
                </c:pt>
                <c:pt idx="8">
                  <c:v>42711.472222222219</c:v>
                </c:pt>
                <c:pt idx="9">
                  <c:v>42739.616666666669</c:v>
                </c:pt>
                <c:pt idx="10">
                  <c:v>42745.715277777781</c:v>
                </c:pt>
                <c:pt idx="11">
                  <c:v>42760.993055555555</c:v>
                </c:pt>
                <c:pt idx="12">
                  <c:v>42818.740972222222</c:v>
                </c:pt>
                <c:pt idx="13">
                  <c:v>42819.458333333336</c:v>
                </c:pt>
                <c:pt idx="14">
                  <c:v>42855.416666666664</c:v>
                </c:pt>
                <c:pt idx="15">
                  <c:v>42875.468055555553</c:v>
                </c:pt>
                <c:pt idx="16">
                  <c:v>42969.604166666664</c:v>
                </c:pt>
                <c:pt idx="17">
                  <c:v>43016.019444444442</c:v>
                </c:pt>
                <c:pt idx="18">
                  <c:v>43039.81527777778</c:v>
                </c:pt>
                <c:pt idx="19">
                  <c:v>43097.885416666664</c:v>
                </c:pt>
                <c:pt idx="20">
                  <c:v>43121.738888888889</c:v>
                </c:pt>
                <c:pt idx="21">
                  <c:v>43163.362500000003</c:v>
                </c:pt>
                <c:pt idx="22">
                  <c:v>43169.772222222222</c:v>
                </c:pt>
                <c:pt idx="23">
                  <c:v>43172.538194444445</c:v>
                </c:pt>
                <c:pt idx="24">
                  <c:v>43190.770833333336</c:v>
                </c:pt>
                <c:pt idx="25">
                  <c:v>43191.458333333336</c:v>
                </c:pt>
                <c:pt idx="26">
                  <c:v>43216.587500000001</c:v>
                </c:pt>
                <c:pt idx="27">
                  <c:v>43237.709722222222</c:v>
                </c:pt>
                <c:pt idx="28">
                  <c:v>43255.576388888891</c:v>
                </c:pt>
                <c:pt idx="29">
                  <c:v>43338.46875</c:v>
                </c:pt>
                <c:pt idx="30">
                  <c:v>43368.458333333336</c:v>
                </c:pt>
                <c:pt idx="31">
                  <c:v>43394.470138888886</c:v>
                </c:pt>
                <c:pt idx="32">
                  <c:v>43403.694444444445</c:v>
                </c:pt>
                <c:pt idx="33">
                  <c:v>43413.487500000003</c:v>
                </c:pt>
                <c:pt idx="34">
                  <c:v>43419.815972222219</c:v>
                </c:pt>
                <c:pt idx="35">
                  <c:v>43422.942361111112</c:v>
                </c:pt>
                <c:pt idx="36">
                  <c:v>43427.918749999997</c:v>
                </c:pt>
                <c:pt idx="37">
                  <c:v>43451.541666666664</c:v>
                </c:pt>
                <c:pt idx="38">
                  <c:v>43458.843055555553</c:v>
                </c:pt>
                <c:pt idx="39">
                  <c:v>43459.817361111112</c:v>
                </c:pt>
                <c:pt idx="40">
                  <c:v>43467.469444444447</c:v>
                </c:pt>
                <c:pt idx="41">
                  <c:v>43468.955555555556</c:v>
                </c:pt>
                <c:pt idx="42">
                  <c:v>43484.676388888889</c:v>
                </c:pt>
                <c:pt idx="43">
                  <c:v>43488.499305555553</c:v>
                </c:pt>
                <c:pt idx="44">
                  <c:v>43494.290277777778</c:v>
                </c:pt>
                <c:pt idx="45">
                  <c:v>43509.333333333336</c:v>
                </c:pt>
                <c:pt idx="46">
                  <c:v>43534.354861111111</c:v>
                </c:pt>
                <c:pt idx="47">
                  <c:v>43540.474305555559</c:v>
                </c:pt>
                <c:pt idx="48">
                  <c:v>43559.373611111114</c:v>
                </c:pt>
                <c:pt idx="49">
                  <c:v>43652.401388888888</c:v>
                </c:pt>
                <c:pt idx="50">
                  <c:v>43686.491666666669</c:v>
                </c:pt>
                <c:pt idx="51">
                  <c:v>43724.661111111112</c:v>
                </c:pt>
                <c:pt idx="52">
                  <c:v>43743.465277777781</c:v>
                </c:pt>
                <c:pt idx="53">
                  <c:v>43753.881944444445</c:v>
                </c:pt>
                <c:pt idx="54">
                  <c:v>43767.864583333336</c:v>
                </c:pt>
                <c:pt idx="55">
                  <c:v>43777.332638888889</c:v>
                </c:pt>
                <c:pt idx="56">
                  <c:v>43778.408333333333</c:v>
                </c:pt>
                <c:pt idx="57">
                  <c:v>43846.884722222225</c:v>
                </c:pt>
                <c:pt idx="58">
                  <c:v>43864.794444444444</c:v>
                </c:pt>
                <c:pt idx="59">
                  <c:v>43893.530555555553</c:v>
                </c:pt>
                <c:pt idx="60">
                  <c:v>43924.53125</c:v>
                </c:pt>
                <c:pt idx="61">
                  <c:v>44071.548611111109</c:v>
                </c:pt>
                <c:pt idx="62" formatCode="dd/mm/yy\ hh:mm">
                  <c:v>44078.701388888891</c:v>
                </c:pt>
                <c:pt idx="63">
                  <c:v>44096.444444444445</c:v>
                </c:pt>
                <c:pt idx="64">
                  <c:v>44098.759722222225</c:v>
                </c:pt>
                <c:pt idx="65">
                  <c:v>44101.768750000003</c:v>
                </c:pt>
                <c:pt idx="66">
                  <c:v>44103.455555555556</c:v>
                </c:pt>
                <c:pt idx="67">
                  <c:v>44112.70416666667</c:v>
                </c:pt>
                <c:pt idx="68">
                  <c:v>44115.870138888888</c:v>
                </c:pt>
                <c:pt idx="69">
                  <c:v>44116.324305555558</c:v>
                </c:pt>
                <c:pt idx="70">
                  <c:v>44120.3</c:v>
                </c:pt>
                <c:pt idx="71">
                  <c:v>44126.92291666667</c:v>
                </c:pt>
                <c:pt idx="72">
                  <c:v>44130.691666666666</c:v>
                </c:pt>
                <c:pt idx="73">
                  <c:v>44133.013888888891</c:v>
                </c:pt>
                <c:pt idx="74">
                  <c:v>44134.89166666667</c:v>
                </c:pt>
                <c:pt idx="75">
                  <c:v>44137.481944444444</c:v>
                </c:pt>
                <c:pt idx="76">
                  <c:v>44140.72152777778</c:v>
                </c:pt>
                <c:pt idx="77">
                  <c:v>44142.439583333333</c:v>
                </c:pt>
                <c:pt idx="78">
                  <c:v>44143.92083333333</c:v>
                </c:pt>
                <c:pt idx="79">
                  <c:v>44146.525694444441</c:v>
                </c:pt>
                <c:pt idx="80">
                  <c:v>44147.955555555556</c:v>
                </c:pt>
                <c:pt idx="81">
                  <c:v>44149.865972222222</c:v>
                </c:pt>
                <c:pt idx="82">
                  <c:v>44151.773611111108</c:v>
                </c:pt>
                <c:pt idx="83">
                  <c:v>44153.378472222219</c:v>
                </c:pt>
                <c:pt idx="84">
                  <c:v>44154.888888888891</c:v>
                </c:pt>
                <c:pt idx="85">
                  <c:v>44156.706944444442</c:v>
                </c:pt>
                <c:pt idx="86">
                  <c:v>44157.94027777778</c:v>
                </c:pt>
                <c:pt idx="87">
                  <c:v>44159.366666666669</c:v>
                </c:pt>
                <c:pt idx="88">
                  <c:v>44160.856249999997</c:v>
                </c:pt>
                <c:pt idx="89">
                  <c:v>44163.017361111109</c:v>
                </c:pt>
                <c:pt idx="90">
                  <c:v>44164.366666666669</c:v>
                </c:pt>
                <c:pt idx="91">
                  <c:v>44165.543749999997</c:v>
                </c:pt>
                <c:pt idx="92">
                  <c:v>44166.952777777777</c:v>
                </c:pt>
                <c:pt idx="93">
                  <c:v>44167.955555555556</c:v>
                </c:pt>
                <c:pt idx="94">
                  <c:v>44168.923611111109</c:v>
                </c:pt>
                <c:pt idx="95">
                  <c:v>44169.967361111114</c:v>
                </c:pt>
                <c:pt idx="96">
                  <c:v>44170.921527777777</c:v>
                </c:pt>
                <c:pt idx="97">
                  <c:v>44172.414583333331</c:v>
                </c:pt>
                <c:pt idx="98">
                  <c:v>44173.95416666667</c:v>
                </c:pt>
                <c:pt idx="99">
                  <c:v>44175.783333333333</c:v>
                </c:pt>
                <c:pt idx="100">
                  <c:v>44178.548611111109</c:v>
                </c:pt>
                <c:pt idx="101">
                  <c:v>44180.920138888891</c:v>
                </c:pt>
                <c:pt idx="102">
                  <c:v>44184.728472222225</c:v>
                </c:pt>
                <c:pt idx="103">
                  <c:v>44187.884027777778</c:v>
                </c:pt>
                <c:pt idx="104">
                  <c:v>44189.976388888892</c:v>
                </c:pt>
                <c:pt idx="105">
                  <c:v>44191.697916666664</c:v>
                </c:pt>
                <c:pt idx="106">
                  <c:v>44192.960416666669</c:v>
                </c:pt>
                <c:pt idx="107">
                  <c:v>44196.895138888889</c:v>
                </c:pt>
                <c:pt idx="108">
                  <c:v>44199.726388888892</c:v>
                </c:pt>
                <c:pt idx="109">
                  <c:v>44209.336805555555</c:v>
                </c:pt>
                <c:pt idx="110">
                  <c:v>44237.875</c:v>
                </c:pt>
                <c:pt idx="111">
                  <c:v>44253.368055555555</c:v>
                </c:pt>
                <c:pt idx="112">
                  <c:v>44274.744444444441</c:v>
                </c:pt>
                <c:pt idx="113">
                  <c:v>44284.72152777778</c:v>
                </c:pt>
                <c:pt idx="114">
                  <c:v>44307.313194444447</c:v>
                </c:pt>
                <c:pt idx="115">
                  <c:v>44331.776388888888</c:v>
                </c:pt>
                <c:pt idx="116">
                  <c:v>44349.402083333334</c:v>
                </c:pt>
                <c:pt idx="117">
                  <c:v>44376.75</c:v>
                </c:pt>
                <c:pt idx="118">
                  <c:v>44424.631944444445</c:v>
                </c:pt>
                <c:pt idx="119">
                  <c:v>44467.4375</c:v>
                </c:pt>
                <c:pt idx="120">
                  <c:v>44482.34097222222</c:v>
                </c:pt>
                <c:pt idx="121">
                  <c:v>44483.849305555559</c:v>
                </c:pt>
                <c:pt idx="122">
                  <c:v>44529.458333333336</c:v>
                </c:pt>
                <c:pt idx="123">
                  <c:v>44556.593055555553</c:v>
                </c:pt>
                <c:pt idx="124">
                  <c:v>44556.88958333333</c:v>
                </c:pt>
                <c:pt idx="125">
                  <c:v>44622.59375</c:v>
                </c:pt>
                <c:pt idx="126">
                  <c:v>44634.831250000003</c:v>
                </c:pt>
                <c:pt idx="127">
                  <c:v>44635.320138888892</c:v>
                </c:pt>
                <c:pt idx="128">
                  <c:v>44636.332638888889</c:v>
                </c:pt>
                <c:pt idx="129">
                  <c:v>44638.368750000001</c:v>
                </c:pt>
                <c:pt idx="130">
                  <c:v>44640.477777777778</c:v>
                </c:pt>
                <c:pt idx="131">
                  <c:v>44640.82708333333</c:v>
                </c:pt>
                <c:pt idx="132">
                  <c:v>44651.572222222225</c:v>
                </c:pt>
                <c:pt idx="133">
                  <c:v>44653.897916666669</c:v>
                </c:pt>
                <c:pt idx="134">
                  <c:v>44677.694444444445</c:v>
                </c:pt>
                <c:pt idx="135">
                  <c:v>44690.382638888892</c:v>
                </c:pt>
                <c:pt idx="136">
                  <c:v>44713.272916666669</c:v>
                </c:pt>
                <c:pt idx="137">
                  <c:v>44721.942361111112</c:v>
                </c:pt>
                <c:pt idx="138">
                  <c:v>44722.892361111109</c:v>
                </c:pt>
                <c:pt idx="139">
                  <c:v>44727.929861111108</c:v>
                </c:pt>
              </c:numCache>
            </c:numRef>
          </c:xVal>
          <c:yVal>
            <c:numRef>
              <c:f>'vavra 20kW'!$G$21:$G$160</c:f>
              <c:numCache>
                <c:formatCode>General</c:formatCode>
                <c:ptCount val="140"/>
                <c:pt idx="0">
                  <c:v>10.7</c:v>
                </c:pt>
                <c:pt idx="1">
                  <c:v>228.33799999999999</c:v>
                </c:pt>
                <c:pt idx="2">
                  <c:v>2681.4199999999996</c:v>
                </c:pt>
                <c:pt idx="3">
                  <c:v>4355.5954999999994</c:v>
                </c:pt>
                <c:pt idx="4">
                  <c:v>5596.2283999999991</c:v>
                </c:pt>
                <c:pt idx="5">
                  <c:v>11223.23</c:v>
                </c:pt>
                <c:pt idx="6">
                  <c:v>13398.6577</c:v>
                </c:pt>
                <c:pt idx="7">
                  <c:v>15798.699799999999</c:v>
                </c:pt>
                <c:pt idx="8">
                  <c:v>16395.674199999998</c:v>
                </c:pt>
                <c:pt idx="9">
                  <c:v>22592.226099999996</c:v>
                </c:pt>
                <c:pt idx="10">
                  <c:v>24268.691399999996</c:v>
                </c:pt>
                <c:pt idx="11">
                  <c:v>28381.1829</c:v>
                </c:pt>
                <c:pt idx="12">
                  <c:v>39713.338899999995</c:v>
                </c:pt>
                <c:pt idx="13">
                  <c:v>39817.909999999996</c:v>
                </c:pt>
                <c:pt idx="14">
                  <c:v>42976.870999999999</c:v>
                </c:pt>
                <c:pt idx="15">
                  <c:v>44125.729999999996</c:v>
                </c:pt>
                <c:pt idx="16">
                  <c:v>47948.668799999999</c:v>
                </c:pt>
                <c:pt idx="17">
                  <c:v>50405.228300000002</c:v>
                </c:pt>
                <c:pt idx="18">
                  <c:v>53010.496400000004</c:v>
                </c:pt>
                <c:pt idx="19">
                  <c:v>64923.8871</c:v>
                </c:pt>
                <c:pt idx="20">
                  <c:v>69694.824499999988</c:v>
                </c:pt>
                <c:pt idx="21">
                  <c:v>78303.990999999995</c:v>
                </c:pt>
                <c:pt idx="22">
                  <c:v>79749.903399999996</c:v>
                </c:pt>
                <c:pt idx="23">
                  <c:v>80169.214999999997</c:v>
                </c:pt>
                <c:pt idx="24">
                  <c:v>83753.308399999994</c:v>
                </c:pt>
                <c:pt idx="25">
                  <c:v>83826.870899999994</c:v>
                </c:pt>
                <c:pt idx="26">
                  <c:v>85287.20689999999</c:v>
                </c:pt>
                <c:pt idx="27">
                  <c:v>86363.348700000002</c:v>
                </c:pt>
                <c:pt idx="28">
                  <c:v>87243.102699999989</c:v>
                </c:pt>
                <c:pt idx="29">
                  <c:v>90925.518399999986</c:v>
                </c:pt>
                <c:pt idx="30">
                  <c:v>92165.947999999989</c:v>
                </c:pt>
                <c:pt idx="31">
                  <c:v>93722.637499999997</c:v>
                </c:pt>
                <c:pt idx="32">
                  <c:v>94644.645799999998</c:v>
                </c:pt>
                <c:pt idx="33">
                  <c:v>95714.549499999994</c:v>
                </c:pt>
                <c:pt idx="34">
                  <c:v>96421.402199999982</c:v>
                </c:pt>
                <c:pt idx="35">
                  <c:v>96931.235799999995</c:v>
                </c:pt>
                <c:pt idx="36">
                  <c:v>98052.039399999994</c:v>
                </c:pt>
                <c:pt idx="37">
                  <c:v>102913.72349999999</c:v>
                </c:pt>
                <c:pt idx="38">
                  <c:v>104404.8541</c:v>
                </c:pt>
                <c:pt idx="39">
                  <c:v>104568.7246</c:v>
                </c:pt>
                <c:pt idx="40">
                  <c:v>105839.22119999999</c:v>
                </c:pt>
                <c:pt idx="41">
                  <c:v>106119.16529999999</c:v>
                </c:pt>
                <c:pt idx="42">
                  <c:v>109149.33039999999</c:v>
                </c:pt>
                <c:pt idx="43">
                  <c:v>110159.7849</c:v>
                </c:pt>
                <c:pt idx="44">
                  <c:v>111738.74109999998</c:v>
                </c:pt>
                <c:pt idx="45">
                  <c:v>115355.33039999999</c:v>
                </c:pt>
                <c:pt idx="46">
                  <c:v>119847.16899999999</c:v>
                </c:pt>
                <c:pt idx="47">
                  <c:v>120848.1326</c:v>
                </c:pt>
                <c:pt idx="48">
                  <c:v>122906.29899999998</c:v>
                </c:pt>
                <c:pt idx="49">
                  <c:v>127554.4218</c:v>
                </c:pt>
                <c:pt idx="50">
                  <c:v>128656.19009999998</c:v>
                </c:pt>
                <c:pt idx="51">
                  <c:v>130012.99289999998</c:v>
                </c:pt>
                <c:pt idx="52">
                  <c:v>130903.04029999999</c:v>
                </c:pt>
                <c:pt idx="53">
                  <c:v>131887.22629999998</c:v>
                </c:pt>
                <c:pt idx="54">
                  <c:v>132869.31509999998</c:v>
                </c:pt>
                <c:pt idx="55">
                  <c:v>134166.2193</c:v>
                </c:pt>
                <c:pt idx="56">
                  <c:v>134305.37279999998</c:v>
                </c:pt>
                <c:pt idx="57">
                  <c:v>147753.65710000001</c:v>
                </c:pt>
                <c:pt idx="58">
                  <c:v>151402.8921</c:v>
                </c:pt>
                <c:pt idx="59">
                  <c:v>156577.03759999998</c:v>
                </c:pt>
                <c:pt idx="60">
                  <c:v>160500</c:v>
                </c:pt>
                <c:pt idx="61">
                  <c:v>166794.30710000001</c:v>
                </c:pt>
                <c:pt idx="62">
                  <c:v>167042.1084</c:v>
                </c:pt>
                <c:pt idx="63">
                  <c:v>167630.57629999999</c:v>
                </c:pt>
                <c:pt idx="64">
                  <c:v>167724.93959999998</c:v>
                </c:pt>
                <c:pt idx="65">
                  <c:v>167978.337</c:v>
                </c:pt>
                <c:pt idx="66">
                  <c:v>168200.13729999997</c:v>
                </c:pt>
                <c:pt idx="67">
                  <c:v>168932.39179999998</c:v>
                </c:pt>
                <c:pt idx="68">
                  <c:v>169252.6214</c:v>
                </c:pt>
                <c:pt idx="69">
                  <c:v>169321.01579999999</c:v>
                </c:pt>
                <c:pt idx="70">
                  <c:v>169907.00129999997</c:v>
                </c:pt>
                <c:pt idx="71">
                  <c:v>171039.94939999998</c:v>
                </c:pt>
                <c:pt idx="72">
                  <c:v>171515.52159999998</c:v>
                </c:pt>
                <c:pt idx="73">
                  <c:v>171818.94149999999</c:v>
                </c:pt>
                <c:pt idx="74">
                  <c:v>172091.0104</c:v>
                </c:pt>
                <c:pt idx="75">
                  <c:v>172428.65959999998</c:v>
                </c:pt>
                <c:pt idx="76">
                  <c:v>172717.99830000001</c:v>
                </c:pt>
                <c:pt idx="77">
                  <c:v>173013.94959999999</c:v>
                </c:pt>
                <c:pt idx="78">
                  <c:v>173319.31689999998</c:v>
                </c:pt>
                <c:pt idx="79">
                  <c:v>173853.42879999999</c:v>
                </c:pt>
                <c:pt idx="80">
                  <c:v>174157.24460000001</c:v>
                </c:pt>
                <c:pt idx="81">
                  <c:v>174452.04029999999</c:v>
                </c:pt>
                <c:pt idx="82">
                  <c:v>174758.13519999999</c:v>
                </c:pt>
                <c:pt idx="83">
                  <c:v>175055.2849</c:v>
                </c:pt>
                <c:pt idx="84">
                  <c:v>175299.94039999999</c:v>
                </c:pt>
                <c:pt idx="85">
                  <c:v>175624.6961</c:v>
                </c:pt>
                <c:pt idx="86">
                  <c:v>175898.35929999998</c:v>
                </c:pt>
                <c:pt idx="87">
                  <c:v>176197.91649999999</c:v>
                </c:pt>
                <c:pt idx="88">
                  <c:v>176529.58439999999</c:v>
                </c:pt>
                <c:pt idx="89">
                  <c:v>177081.19079999998</c:v>
                </c:pt>
                <c:pt idx="90">
                  <c:v>177423.22699999998</c:v>
                </c:pt>
                <c:pt idx="91">
                  <c:v>177737.86049999998</c:v>
                </c:pt>
                <c:pt idx="92">
                  <c:v>178071.7433</c:v>
                </c:pt>
                <c:pt idx="93">
                  <c:v>178333.32620000001</c:v>
                </c:pt>
                <c:pt idx="94">
                  <c:v>178597.3487</c:v>
                </c:pt>
                <c:pt idx="95">
                  <c:v>178864.0569</c:v>
                </c:pt>
                <c:pt idx="96">
                  <c:v>179105.481</c:v>
                </c:pt>
                <c:pt idx="97">
                  <c:v>179457.87479999999</c:v>
                </c:pt>
                <c:pt idx="98">
                  <c:v>179783.22969999997</c:v>
                </c:pt>
                <c:pt idx="99">
                  <c:v>180151.42739999999</c:v>
                </c:pt>
                <c:pt idx="100">
                  <c:v>180774.88429999998</c:v>
                </c:pt>
                <c:pt idx="101">
                  <c:v>181297.68629999997</c:v>
                </c:pt>
                <c:pt idx="102">
                  <c:v>182187.0275</c:v>
                </c:pt>
                <c:pt idx="103">
                  <c:v>182881.7892</c:v>
                </c:pt>
                <c:pt idx="104">
                  <c:v>183219.78080000001</c:v>
                </c:pt>
                <c:pt idx="105">
                  <c:v>183499.36110000001</c:v>
                </c:pt>
                <c:pt idx="106">
                  <c:v>183797.29189999998</c:v>
                </c:pt>
                <c:pt idx="107">
                  <c:v>184705.07989999998</c:v>
                </c:pt>
                <c:pt idx="108">
                  <c:v>185417.5073</c:v>
                </c:pt>
                <c:pt idx="109">
                  <c:v>187806.74239999999</c:v>
                </c:pt>
                <c:pt idx="110">
                  <c:v>195282.27599999998</c:v>
                </c:pt>
                <c:pt idx="111">
                  <c:v>199663.177</c:v>
                </c:pt>
                <c:pt idx="112">
                  <c:v>204414.37289999999</c:v>
                </c:pt>
                <c:pt idx="113">
                  <c:v>206271.7966</c:v>
                </c:pt>
                <c:pt idx="114">
                  <c:v>209520.28449999998</c:v>
                </c:pt>
                <c:pt idx="115">
                  <c:v>211270.30159999998</c:v>
                </c:pt>
                <c:pt idx="116">
                  <c:v>212170.53539999999</c:v>
                </c:pt>
                <c:pt idx="117">
                  <c:v>213169.4339</c:v>
                </c:pt>
                <c:pt idx="118">
                  <c:v>214535.77039999998</c:v>
                </c:pt>
                <c:pt idx="119">
                  <c:v>215684.5545</c:v>
                </c:pt>
                <c:pt idx="120">
                  <c:v>216584.22119999997</c:v>
                </c:pt>
                <c:pt idx="121">
                  <c:v>216828.36309999996</c:v>
                </c:pt>
                <c:pt idx="122">
                  <c:v>223930.53089999998</c:v>
                </c:pt>
                <c:pt idx="123">
                  <c:v>229782.39300000001</c:v>
                </c:pt>
                <c:pt idx="124">
                  <c:v>229860.41739999998</c:v>
                </c:pt>
                <c:pt idx="125">
                  <c:v>242406.88429999998</c:v>
                </c:pt>
                <c:pt idx="126">
                  <c:v>244941.0509</c:v>
                </c:pt>
                <c:pt idx="127">
                  <c:v>245024.06149999998</c:v>
                </c:pt>
                <c:pt idx="128">
                  <c:v>245193.68859999996</c:v>
                </c:pt>
                <c:pt idx="129">
                  <c:v>245473.26889999997</c:v>
                </c:pt>
                <c:pt idx="130">
                  <c:v>245741.57139999999</c:v>
                </c:pt>
                <c:pt idx="131">
                  <c:v>245777.05259999997</c:v>
                </c:pt>
                <c:pt idx="132">
                  <c:v>246744.8676</c:v>
                </c:pt>
                <c:pt idx="133">
                  <c:v>247153.3829</c:v>
                </c:pt>
                <c:pt idx="134">
                  <c:v>249725.15999999997</c:v>
                </c:pt>
                <c:pt idx="135">
                  <c:v>250325.79379999998</c:v>
                </c:pt>
                <c:pt idx="136">
                  <c:v>251155.31129999997</c:v>
                </c:pt>
                <c:pt idx="137">
                  <c:v>251473.1869</c:v>
                </c:pt>
                <c:pt idx="138">
                  <c:v>251504.18479999996</c:v>
                </c:pt>
                <c:pt idx="139">
                  <c:v>251676.33709999998</c:v>
                </c:pt>
              </c:numCache>
            </c:numRef>
          </c:yVal>
        </c:ser>
        <c:ser>
          <c:idx val="1"/>
          <c:order val="1"/>
          <c:tx>
            <c:strRef>
              <c:f>'vavra 20kW'!$H$20</c:f>
              <c:strCache>
                <c:ptCount val="1"/>
                <c:pt idx="0">
                  <c:v>suma TZ</c:v>
                </c:pt>
              </c:strCache>
            </c:strRef>
          </c:tx>
          <c:marker>
            <c:symbol val="none"/>
          </c:marker>
          <c:xVal>
            <c:numRef>
              <c:f>'vavra 20kW'!$A$21:$A$160</c:f>
              <c:numCache>
                <c:formatCode>d/m/yy\ h:mm;@</c:formatCode>
                <c:ptCount val="140"/>
                <c:pt idx="0">
                  <c:v>42538.541666666664</c:v>
                </c:pt>
                <c:pt idx="1">
                  <c:v>42542.012499999997</c:v>
                </c:pt>
                <c:pt idx="2">
                  <c:v>42592.87222222222</c:v>
                </c:pt>
                <c:pt idx="3">
                  <c:v>42626.833333333336</c:v>
                </c:pt>
                <c:pt idx="4">
                  <c:v>42648.333333333336</c:v>
                </c:pt>
                <c:pt idx="5">
                  <c:v>42685.696527777778</c:v>
                </c:pt>
                <c:pt idx="6">
                  <c:v>42696.536111111112</c:v>
                </c:pt>
                <c:pt idx="7">
                  <c:v>42708.9375</c:v>
                </c:pt>
                <c:pt idx="8">
                  <c:v>42711.472222222219</c:v>
                </c:pt>
                <c:pt idx="9">
                  <c:v>42739.616666666669</c:v>
                </c:pt>
                <c:pt idx="10">
                  <c:v>42745.715277777781</c:v>
                </c:pt>
                <c:pt idx="11">
                  <c:v>42760.993055555555</c:v>
                </c:pt>
                <c:pt idx="12">
                  <c:v>42818.740972222222</c:v>
                </c:pt>
                <c:pt idx="13">
                  <c:v>42819.458333333336</c:v>
                </c:pt>
                <c:pt idx="14">
                  <c:v>42855.416666666664</c:v>
                </c:pt>
                <c:pt idx="15">
                  <c:v>42875.468055555553</c:v>
                </c:pt>
                <c:pt idx="16">
                  <c:v>42969.604166666664</c:v>
                </c:pt>
                <c:pt idx="17">
                  <c:v>43016.019444444442</c:v>
                </c:pt>
                <c:pt idx="18">
                  <c:v>43039.81527777778</c:v>
                </c:pt>
                <c:pt idx="19">
                  <c:v>43097.885416666664</c:v>
                </c:pt>
                <c:pt idx="20">
                  <c:v>43121.738888888889</c:v>
                </c:pt>
                <c:pt idx="21">
                  <c:v>43163.362500000003</c:v>
                </c:pt>
                <c:pt idx="22">
                  <c:v>43169.772222222222</c:v>
                </c:pt>
                <c:pt idx="23">
                  <c:v>43172.538194444445</c:v>
                </c:pt>
                <c:pt idx="24">
                  <c:v>43190.770833333336</c:v>
                </c:pt>
                <c:pt idx="25">
                  <c:v>43191.458333333336</c:v>
                </c:pt>
                <c:pt idx="26">
                  <c:v>43216.587500000001</c:v>
                </c:pt>
                <c:pt idx="27">
                  <c:v>43237.709722222222</c:v>
                </c:pt>
                <c:pt idx="28">
                  <c:v>43255.576388888891</c:v>
                </c:pt>
                <c:pt idx="29">
                  <c:v>43338.46875</c:v>
                </c:pt>
                <c:pt idx="30">
                  <c:v>43368.458333333336</c:v>
                </c:pt>
                <c:pt idx="31">
                  <c:v>43394.470138888886</c:v>
                </c:pt>
                <c:pt idx="32">
                  <c:v>43403.694444444445</c:v>
                </c:pt>
                <c:pt idx="33">
                  <c:v>43413.487500000003</c:v>
                </c:pt>
                <c:pt idx="34">
                  <c:v>43419.815972222219</c:v>
                </c:pt>
                <c:pt idx="35">
                  <c:v>43422.942361111112</c:v>
                </c:pt>
                <c:pt idx="36">
                  <c:v>43427.918749999997</c:v>
                </c:pt>
                <c:pt idx="37">
                  <c:v>43451.541666666664</c:v>
                </c:pt>
                <c:pt idx="38">
                  <c:v>43458.843055555553</c:v>
                </c:pt>
                <c:pt idx="39">
                  <c:v>43459.817361111112</c:v>
                </c:pt>
                <c:pt idx="40">
                  <c:v>43467.469444444447</c:v>
                </c:pt>
                <c:pt idx="41">
                  <c:v>43468.955555555556</c:v>
                </c:pt>
                <c:pt idx="42">
                  <c:v>43484.676388888889</c:v>
                </c:pt>
                <c:pt idx="43">
                  <c:v>43488.499305555553</c:v>
                </c:pt>
                <c:pt idx="44">
                  <c:v>43494.290277777778</c:v>
                </c:pt>
                <c:pt idx="45">
                  <c:v>43509.333333333336</c:v>
                </c:pt>
                <c:pt idx="46">
                  <c:v>43534.354861111111</c:v>
                </c:pt>
                <c:pt idx="47">
                  <c:v>43540.474305555559</c:v>
                </c:pt>
                <c:pt idx="48">
                  <c:v>43559.373611111114</c:v>
                </c:pt>
                <c:pt idx="49">
                  <c:v>43652.401388888888</c:v>
                </c:pt>
                <c:pt idx="50">
                  <c:v>43686.491666666669</c:v>
                </c:pt>
                <c:pt idx="51">
                  <c:v>43724.661111111112</c:v>
                </c:pt>
                <c:pt idx="52">
                  <c:v>43743.465277777781</c:v>
                </c:pt>
                <c:pt idx="53">
                  <c:v>43753.881944444445</c:v>
                </c:pt>
                <c:pt idx="54">
                  <c:v>43767.864583333336</c:v>
                </c:pt>
                <c:pt idx="55">
                  <c:v>43777.332638888889</c:v>
                </c:pt>
                <c:pt idx="56">
                  <c:v>43778.408333333333</c:v>
                </c:pt>
                <c:pt idx="57">
                  <c:v>43846.884722222225</c:v>
                </c:pt>
                <c:pt idx="58">
                  <c:v>43864.794444444444</c:v>
                </c:pt>
                <c:pt idx="59">
                  <c:v>43893.530555555553</c:v>
                </c:pt>
                <c:pt idx="60">
                  <c:v>43924.53125</c:v>
                </c:pt>
                <c:pt idx="61">
                  <c:v>44071.548611111109</c:v>
                </c:pt>
                <c:pt idx="62" formatCode="dd/mm/yy\ hh:mm">
                  <c:v>44078.701388888891</c:v>
                </c:pt>
                <c:pt idx="63">
                  <c:v>44096.444444444445</c:v>
                </c:pt>
                <c:pt idx="64">
                  <c:v>44098.759722222225</c:v>
                </c:pt>
                <c:pt idx="65">
                  <c:v>44101.768750000003</c:v>
                </c:pt>
                <c:pt idx="66">
                  <c:v>44103.455555555556</c:v>
                </c:pt>
                <c:pt idx="67">
                  <c:v>44112.70416666667</c:v>
                </c:pt>
                <c:pt idx="68">
                  <c:v>44115.870138888888</c:v>
                </c:pt>
                <c:pt idx="69">
                  <c:v>44116.324305555558</c:v>
                </c:pt>
                <c:pt idx="70">
                  <c:v>44120.3</c:v>
                </c:pt>
                <c:pt idx="71">
                  <c:v>44126.92291666667</c:v>
                </c:pt>
                <c:pt idx="72">
                  <c:v>44130.691666666666</c:v>
                </c:pt>
                <c:pt idx="73">
                  <c:v>44133.013888888891</c:v>
                </c:pt>
                <c:pt idx="74">
                  <c:v>44134.89166666667</c:v>
                </c:pt>
                <c:pt idx="75">
                  <c:v>44137.481944444444</c:v>
                </c:pt>
                <c:pt idx="76">
                  <c:v>44140.72152777778</c:v>
                </c:pt>
                <c:pt idx="77">
                  <c:v>44142.439583333333</c:v>
                </c:pt>
                <c:pt idx="78">
                  <c:v>44143.92083333333</c:v>
                </c:pt>
                <c:pt idx="79">
                  <c:v>44146.525694444441</c:v>
                </c:pt>
                <c:pt idx="80">
                  <c:v>44147.955555555556</c:v>
                </c:pt>
                <c:pt idx="81">
                  <c:v>44149.865972222222</c:v>
                </c:pt>
                <c:pt idx="82">
                  <c:v>44151.773611111108</c:v>
                </c:pt>
                <c:pt idx="83">
                  <c:v>44153.378472222219</c:v>
                </c:pt>
                <c:pt idx="84">
                  <c:v>44154.888888888891</c:v>
                </c:pt>
                <c:pt idx="85">
                  <c:v>44156.706944444442</c:v>
                </c:pt>
                <c:pt idx="86">
                  <c:v>44157.94027777778</c:v>
                </c:pt>
                <c:pt idx="87">
                  <c:v>44159.366666666669</c:v>
                </c:pt>
                <c:pt idx="88">
                  <c:v>44160.856249999997</c:v>
                </c:pt>
                <c:pt idx="89">
                  <c:v>44163.017361111109</c:v>
                </c:pt>
                <c:pt idx="90">
                  <c:v>44164.366666666669</c:v>
                </c:pt>
                <c:pt idx="91">
                  <c:v>44165.543749999997</c:v>
                </c:pt>
                <c:pt idx="92">
                  <c:v>44166.952777777777</c:v>
                </c:pt>
                <c:pt idx="93">
                  <c:v>44167.955555555556</c:v>
                </c:pt>
                <c:pt idx="94">
                  <c:v>44168.923611111109</c:v>
                </c:pt>
                <c:pt idx="95">
                  <c:v>44169.967361111114</c:v>
                </c:pt>
                <c:pt idx="96">
                  <c:v>44170.921527777777</c:v>
                </c:pt>
                <c:pt idx="97">
                  <c:v>44172.414583333331</c:v>
                </c:pt>
                <c:pt idx="98">
                  <c:v>44173.95416666667</c:v>
                </c:pt>
                <c:pt idx="99">
                  <c:v>44175.783333333333</c:v>
                </c:pt>
                <c:pt idx="100">
                  <c:v>44178.548611111109</c:v>
                </c:pt>
                <c:pt idx="101">
                  <c:v>44180.920138888891</c:v>
                </c:pt>
                <c:pt idx="102">
                  <c:v>44184.728472222225</c:v>
                </c:pt>
                <c:pt idx="103">
                  <c:v>44187.884027777778</c:v>
                </c:pt>
                <c:pt idx="104">
                  <c:v>44189.976388888892</c:v>
                </c:pt>
                <c:pt idx="105">
                  <c:v>44191.697916666664</c:v>
                </c:pt>
                <c:pt idx="106">
                  <c:v>44192.960416666669</c:v>
                </c:pt>
                <c:pt idx="107">
                  <c:v>44196.895138888889</c:v>
                </c:pt>
                <c:pt idx="108">
                  <c:v>44199.726388888892</c:v>
                </c:pt>
                <c:pt idx="109">
                  <c:v>44209.336805555555</c:v>
                </c:pt>
                <c:pt idx="110">
                  <c:v>44237.875</c:v>
                </c:pt>
                <c:pt idx="111">
                  <c:v>44253.368055555555</c:v>
                </c:pt>
                <c:pt idx="112">
                  <c:v>44274.744444444441</c:v>
                </c:pt>
                <c:pt idx="113">
                  <c:v>44284.72152777778</c:v>
                </c:pt>
                <c:pt idx="114">
                  <c:v>44307.313194444447</c:v>
                </c:pt>
                <c:pt idx="115">
                  <c:v>44331.776388888888</c:v>
                </c:pt>
                <c:pt idx="116">
                  <c:v>44349.402083333334</c:v>
                </c:pt>
                <c:pt idx="117">
                  <c:v>44376.75</c:v>
                </c:pt>
                <c:pt idx="118">
                  <c:v>44424.631944444445</c:v>
                </c:pt>
                <c:pt idx="119">
                  <c:v>44467.4375</c:v>
                </c:pt>
                <c:pt idx="120">
                  <c:v>44482.34097222222</c:v>
                </c:pt>
                <c:pt idx="121">
                  <c:v>44483.849305555559</c:v>
                </c:pt>
                <c:pt idx="122">
                  <c:v>44529.458333333336</c:v>
                </c:pt>
                <c:pt idx="123">
                  <c:v>44556.593055555553</c:v>
                </c:pt>
                <c:pt idx="124">
                  <c:v>44556.88958333333</c:v>
                </c:pt>
                <c:pt idx="125">
                  <c:v>44622.59375</c:v>
                </c:pt>
                <c:pt idx="126">
                  <c:v>44634.831250000003</c:v>
                </c:pt>
                <c:pt idx="127">
                  <c:v>44635.320138888892</c:v>
                </c:pt>
                <c:pt idx="128">
                  <c:v>44636.332638888889</c:v>
                </c:pt>
                <c:pt idx="129">
                  <c:v>44638.368750000001</c:v>
                </c:pt>
                <c:pt idx="130">
                  <c:v>44640.477777777778</c:v>
                </c:pt>
                <c:pt idx="131">
                  <c:v>44640.82708333333</c:v>
                </c:pt>
                <c:pt idx="132">
                  <c:v>44651.572222222225</c:v>
                </c:pt>
                <c:pt idx="133">
                  <c:v>44653.897916666669</c:v>
                </c:pt>
                <c:pt idx="134">
                  <c:v>44677.694444444445</c:v>
                </c:pt>
                <c:pt idx="135">
                  <c:v>44690.382638888892</c:v>
                </c:pt>
                <c:pt idx="136">
                  <c:v>44713.272916666669</c:v>
                </c:pt>
                <c:pt idx="137">
                  <c:v>44721.942361111112</c:v>
                </c:pt>
                <c:pt idx="138">
                  <c:v>44722.892361111109</c:v>
                </c:pt>
                <c:pt idx="139">
                  <c:v>44727.929861111108</c:v>
                </c:pt>
              </c:numCache>
            </c:numRef>
          </c:xVal>
          <c:yVal>
            <c:numRef>
              <c:f>'vavra 20kW'!$H$21:$H$160</c:f>
              <c:numCache>
                <c:formatCode>General</c:formatCode>
                <c:ptCount val="140"/>
                <c:pt idx="0">
                  <c:v>0</c:v>
                </c:pt>
                <c:pt idx="1">
                  <c:v>141.6099999999802</c:v>
                </c:pt>
                <c:pt idx="2">
                  <c:v>2216.6866666666929</c:v>
                </c:pt>
                <c:pt idx="3">
                  <c:v>3602.3000000001975</c:v>
                </c:pt>
                <c:pt idx="4">
                  <c:v>4479.5000000001974</c:v>
                </c:pt>
                <c:pt idx="5">
                  <c:v>9699.0372822822137</c:v>
                </c:pt>
                <c:pt idx="6">
                  <c:v>11774.718948949057</c:v>
                </c:pt>
                <c:pt idx="7">
                  <c:v>14491.449874874697</c:v>
                </c:pt>
                <c:pt idx="8">
                  <c:v>15218.070245244133</c:v>
                </c:pt>
                <c:pt idx="9">
                  <c:v>21824.777546832629</c:v>
                </c:pt>
                <c:pt idx="10">
                  <c:v>23927.578657944185</c:v>
                </c:pt>
                <c:pt idx="11">
                  <c:v>28799.356435720671</c:v>
                </c:pt>
                <c:pt idx="12">
                  <c:v>40380.80068859434</c:v>
                </c:pt>
                <c:pt idx="13">
                  <c:v>40481.23124415028</c:v>
                </c:pt>
                <c:pt idx="14">
                  <c:v>44460.620133038647</c:v>
                </c:pt>
                <c:pt idx="15">
                  <c:v>45278.716799705318</c:v>
                </c:pt>
                <c:pt idx="16">
                  <c:v>49119.470133038645</c:v>
                </c:pt>
                <c:pt idx="17">
                  <c:v>51013.213466371992</c:v>
                </c:pt>
                <c:pt idx="18">
                  <c:v>52806.798538836061</c:v>
                </c:pt>
                <c:pt idx="19">
                  <c:v>64045.973557992227</c:v>
                </c:pt>
                <c:pt idx="20">
                  <c:v>68803.94615058534</c:v>
                </c:pt>
                <c:pt idx="21">
                  <c:v>79870.276891326852</c:v>
                </c:pt>
                <c:pt idx="22">
                  <c:v>81131.710224659517</c:v>
                </c:pt>
                <c:pt idx="23">
                  <c:v>81431.910409844815</c:v>
                </c:pt>
                <c:pt idx="24">
                  <c:v>85352.332940709326</c:v>
                </c:pt>
                <c:pt idx="25">
                  <c:v>85459.582940709341</c:v>
                </c:pt>
                <c:pt idx="26">
                  <c:v>86484.852940709301</c:v>
                </c:pt>
                <c:pt idx="27">
                  <c:v>87346.639607375895</c:v>
                </c:pt>
                <c:pt idx="28">
                  <c:v>88075.599607375974</c:v>
                </c:pt>
                <c:pt idx="29">
                  <c:v>91457.607940709247</c:v>
                </c:pt>
                <c:pt idx="30">
                  <c:v>92681.182940709346</c:v>
                </c:pt>
                <c:pt idx="31">
                  <c:v>94257.89853899958</c:v>
                </c:pt>
                <c:pt idx="32">
                  <c:v>95267.242551345684</c:v>
                </c:pt>
                <c:pt idx="33">
                  <c:v>96212.076551345905</c:v>
                </c:pt>
                <c:pt idx="34">
                  <c:v>97044.059699493213</c:v>
                </c:pt>
                <c:pt idx="35">
                  <c:v>97793.55932912392</c:v>
                </c:pt>
                <c:pt idx="36">
                  <c:v>98917.028884678512</c:v>
                </c:pt>
                <c:pt idx="37">
                  <c:v>104206.98735690091</c:v>
                </c:pt>
                <c:pt idx="38">
                  <c:v>105579.64846801208</c:v>
                </c:pt>
                <c:pt idx="39">
                  <c:v>105776.84791245725</c:v>
                </c:pt>
                <c:pt idx="40">
                  <c:v>107187.89207912411</c:v>
                </c:pt>
                <c:pt idx="41">
                  <c:v>107609.94763467922</c:v>
                </c:pt>
                <c:pt idx="42">
                  <c:v>111170.71638467909</c:v>
                </c:pt>
                <c:pt idx="43">
                  <c:v>112433.80805134498</c:v>
                </c:pt>
                <c:pt idx="44">
                  <c:v>113866.88064393825</c:v>
                </c:pt>
                <c:pt idx="45">
                  <c:v>117343.23049579057</c:v>
                </c:pt>
                <c:pt idx="46">
                  <c:v>121401.92247356792</c:v>
                </c:pt>
                <c:pt idx="47">
                  <c:v>122353.29210319815</c:v>
                </c:pt>
                <c:pt idx="48">
                  <c:v>124497.86593360743</c:v>
                </c:pt>
                <c:pt idx="49">
                  <c:v>128293.3992669406</c:v>
                </c:pt>
                <c:pt idx="50">
                  <c:v>129684.28260027406</c:v>
                </c:pt>
                <c:pt idx="51">
                  <c:v>131241.59593360737</c:v>
                </c:pt>
                <c:pt idx="52">
                  <c:v>132037.30909150225</c:v>
                </c:pt>
                <c:pt idx="53">
                  <c:v>132718.97575816879</c:v>
                </c:pt>
                <c:pt idx="54">
                  <c:v>133706.5495676928</c:v>
                </c:pt>
                <c:pt idx="55">
                  <c:v>135059.34534547024</c:v>
                </c:pt>
                <c:pt idx="56">
                  <c:v>135218.54812324792</c:v>
                </c:pt>
                <c:pt idx="57">
                  <c:v>148362.79237161484</c:v>
                </c:pt>
                <c:pt idx="58">
                  <c:v>152046.62323581177</c:v>
                </c:pt>
                <c:pt idx="59">
                  <c:v>156905.20599443206</c:v>
                </c:pt>
                <c:pt idx="60">
                  <c:v>162176.52407686974</c:v>
                </c:pt>
                <c:pt idx="61">
                  <c:v>168174.832410203</c:v>
                </c:pt>
                <c:pt idx="62">
                  <c:v>168466.66574353646</c:v>
                </c:pt>
                <c:pt idx="63">
                  <c:v>169190.58241020309</c:v>
                </c:pt>
                <c:pt idx="64">
                  <c:v>169285.0457435365</c:v>
                </c:pt>
                <c:pt idx="65">
                  <c:v>169558.66666946249</c:v>
                </c:pt>
                <c:pt idx="66">
                  <c:v>169736.79333612893</c:v>
                </c:pt>
                <c:pt idx="67">
                  <c:v>170128.93444724023</c:v>
                </c:pt>
                <c:pt idx="68">
                  <c:v>170364.48278057319</c:v>
                </c:pt>
                <c:pt idx="69">
                  <c:v>170420.79944724028</c:v>
                </c:pt>
                <c:pt idx="70">
                  <c:v>170918.5563916848</c:v>
                </c:pt>
                <c:pt idx="71">
                  <c:v>171665.62139168481</c:v>
                </c:pt>
                <c:pt idx="72">
                  <c:v>171918.8813916845</c:v>
                </c:pt>
                <c:pt idx="73">
                  <c:v>172209.3139842774</c:v>
                </c:pt>
                <c:pt idx="74">
                  <c:v>172367.04731761091</c:v>
                </c:pt>
                <c:pt idx="75">
                  <c:v>172492.07139168482</c:v>
                </c:pt>
                <c:pt idx="76">
                  <c:v>172816.02972501836</c:v>
                </c:pt>
                <c:pt idx="77">
                  <c:v>173174.75972501788</c:v>
                </c:pt>
                <c:pt idx="78">
                  <c:v>173484.04472501727</c:v>
                </c:pt>
                <c:pt idx="79">
                  <c:v>173958.47676205423</c:v>
                </c:pt>
                <c:pt idx="80">
                  <c:v>174190.68620649932</c:v>
                </c:pt>
                <c:pt idx="81">
                  <c:v>174426.04953983257</c:v>
                </c:pt>
                <c:pt idx="82">
                  <c:v>174699.22342872104</c:v>
                </c:pt>
                <c:pt idx="83">
                  <c:v>174860.99342872103</c:v>
                </c:pt>
                <c:pt idx="84">
                  <c:v>175070.03509538833</c:v>
                </c:pt>
                <c:pt idx="85">
                  <c:v>175465.64398427639</c:v>
                </c:pt>
                <c:pt idx="86">
                  <c:v>175713.2973176105</c:v>
                </c:pt>
                <c:pt idx="87">
                  <c:v>176021.39731761056</c:v>
                </c:pt>
                <c:pt idx="88">
                  <c:v>176394.38898427598</c:v>
                </c:pt>
                <c:pt idx="89">
                  <c:v>176932.07342872076</c:v>
                </c:pt>
                <c:pt idx="90">
                  <c:v>177233.23842872158</c:v>
                </c:pt>
                <c:pt idx="91">
                  <c:v>177516.68009538707</c:v>
                </c:pt>
                <c:pt idx="92">
                  <c:v>177896.55398427643</c:v>
                </c:pt>
                <c:pt idx="93">
                  <c:v>178174.92509538803</c:v>
                </c:pt>
                <c:pt idx="94">
                  <c:v>178443.65731760961</c:v>
                </c:pt>
                <c:pt idx="95">
                  <c:v>178684.97231761063</c:v>
                </c:pt>
                <c:pt idx="96">
                  <c:v>178849.08898427663</c:v>
                </c:pt>
                <c:pt idx="97">
                  <c:v>179030.64453983208</c:v>
                </c:pt>
                <c:pt idx="98">
                  <c:v>179312.69620649976</c:v>
                </c:pt>
                <c:pt idx="99">
                  <c:v>179646.33620649908</c:v>
                </c:pt>
                <c:pt idx="100">
                  <c:v>180211.92768798035</c:v>
                </c:pt>
                <c:pt idx="101">
                  <c:v>180653.98046575874</c:v>
                </c:pt>
                <c:pt idx="102">
                  <c:v>181473.53379909226</c:v>
                </c:pt>
                <c:pt idx="103">
                  <c:v>182060.04639168445</c:v>
                </c:pt>
                <c:pt idx="104">
                  <c:v>182274.30416946247</c:v>
                </c:pt>
                <c:pt idx="105">
                  <c:v>182668.18972501677</c:v>
                </c:pt>
                <c:pt idx="106">
                  <c:v>183006.53972501797</c:v>
                </c:pt>
                <c:pt idx="107">
                  <c:v>183900.50861390636</c:v>
                </c:pt>
                <c:pt idx="108">
                  <c:v>184626.06361390714</c:v>
                </c:pt>
                <c:pt idx="109">
                  <c:v>187018.67294723948</c:v>
                </c:pt>
                <c:pt idx="110">
                  <c:v>194224.97473295408</c:v>
                </c:pt>
                <c:pt idx="111">
                  <c:v>198324.43723295385</c:v>
                </c:pt>
                <c:pt idx="112">
                  <c:v>202781.31252395842</c:v>
                </c:pt>
                <c:pt idx="113">
                  <c:v>204334.54485729258</c:v>
                </c:pt>
                <c:pt idx="114">
                  <c:v>207594.81703120569</c:v>
                </c:pt>
                <c:pt idx="115">
                  <c:v>209633.41656824242</c:v>
                </c:pt>
                <c:pt idx="116">
                  <c:v>210587.55416083502</c:v>
                </c:pt>
                <c:pt idx="117">
                  <c:v>211703.34916083497</c:v>
                </c:pt>
                <c:pt idx="118">
                  <c:v>213656.93249416834</c:v>
                </c:pt>
                <c:pt idx="119">
                  <c:v>215403.39916083499</c:v>
                </c:pt>
                <c:pt idx="120">
                  <c:v>216539.24245713104</c:v>
                </c:pt>
                <c:pt idx="121">
                  <c:v>216750.40912379848</c:v>
                </c:pt>
                <c:pt idx="122">
                  <c:v>223663.94453442632</c:v>
                </c:pt>
                <c:pt idx="123">
                  <c:v>229688.68778228847</c:v>
                </c:pt>
                <c:pt idx="124">
                  <c:v>229770.52944895483</c:v>
                </c:pt>
                <c:pt idx="125">
                  <c:v>242619.87520653132</c:v>
                </c:pt>
                <c:pt idx="126">
                  <c:v>245390.44520653182</c:v>
                </c:pt>
                <c:pt idx="127">
                  <c:v>245462.8007620874</c:v>
                </c:pt>
                <c:pt idx="128">
                  <c:v>245589.97076208703</c:v>
                </c:pt>
                <c:pt idx="129">
                  <c:v>245861.99520653169</c:v>
                </c:pt>
                <c:pt idx="130">
                  <c:v>246223.06076208703</c:v>
                </c:pt>
                <c:pt idx="131">
                  <c:v>246309.96798430831</c:v>
                </c:pt>
                <c:pt idx="132">
                  <c:v>247565.78167117774</c:v>
                </c:pt>
                <c:pt idx="133">
                  <c:v>248083.01611562204</c:v>
                </c:pt>
                <c:pt idx="134">
                  <c:v>251130.55810636267</c:v>
                </c:pt>
                <c:pt idx="135">
                  <c:v>251648.23643969611</c:v>
                </c:pt>
                <c:pt idx="136">
                  <c:v>252582.15977302939</c:v>
                </c:pt>
                <c:pt idx="137">
                  <c:v>252935.87310636271</c:v>
                </c:pt>
                <c:pt idx="138">
                  <c:v>252974.6331063626</c:v>
                </c:pt>
                <c:pt idx="139">
                  <c:v>253180.16310636254</c:v>
                </c:pt>
              </c:numCache>
            </c:numRef>
          </c:yVal>
        </c:ser>
        <c:axId val="119671424"/>
        <c:axId val="119677312"/>
      </c:scatterChart>
      <c:valAx>
        <c:axId val="119671424"/>
        <c:scaling>
          <c:orientation val="minMax"/>
        </c:scaling>
        <c:axPos val="b"/>
        <c:majorGridlines/>
        <c:numFmt formatCode="d/m/yy\ h:mm;@" sourceLinked="1"/>
        <c:tickLblPos val="nextTo"/>
        <c:txPr>
          <a:bodyPr rot="-1260000"/>
          <a:lstStyle/>
          <a:p>
            <a:pPr>
              <a:defRPr/>
            </a:pPr>
            <a:endParaRPr lang="cs-CZ"/>
          </a:p>
        </c:txPr>
        <c:crossAx val="119677312"/>
        <c:crosses val="autoZero"/>
        <c:crossBetween val="midCat"/>
        <c:majorUnit val="365"/>
      </c:valAx>
      <c:valAx>
        <c:axId val="119677312"/>
        <c:scaling>
          <c:orientation val="minMax"/>
        </c:scaling>
        <c:axPos val="l"/>
        <c:majorGridlines/>
        <c:numFmt formatCode="General" sourceLinked="1"/>
        <c:tickLblPos val="nextTo"/>
        <c:crossAx val="119671424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homola!$E$4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homola!$A$6:$A$39</c:f>
              <c:numCache>
                <c:formatCode>dd/mm/yy;@</c:formatCode>
                <c:ptCount val="34"/>
                <c:pt idx="0">
                  <c:v>43107</c:v>
                </c:pt>
                <c:pt idx="1">
                  <c:v>43113</c:v>
                </c:pt>
                <c:pt idx="2">
                  <c:v>43119</c:v>
                </c:pt>
                <c:pt idx="3">
                  <c:v>43120</c:v>
                </c:pt>
                <c:pt idx="4">
                  <c:v>43124</c:v>
                </c:pt>
                <c:pt idx="5">
                  <c:v>43125</c:v>
                </c:pt>
                <c:pt idx="6">
                  <c:v>43128</c:v>
                </c:pt>
                <c:pt idx="7">
                  <c:v>43131</c:v>
                </c:pt>
                <c:pt idx="8">
                  <c:v>43134</c:v>
                </c:pt>
                <c:pt idx="9">
                  <c:v>43142</c:v>
                </c:pt>
                <c:pt idx="10">
                  <c:v>43149</c:v>
                </c:pt>
                <c:pt idx="11">
                  <c:v>43156</c:v>
                </c:pt>
                <c:pt idx="12">
                  <c:v>43158</c:v>
                </c:pt>
                <c:pt idx="13">
                  <c:v>43193</c:v>
                </c:pt>
                <c:pt idx="14">
                  <c:v>43198</c:v>
                </c:pt>
                <c:pt idx="15">
                  <c:v>43203</c:v>
                </c:pt>
                <c:pt idx="16">
                  <c:v>43226</c:v>
                </c:pt>
                <c:pt idx="17">
                  <c:v>43243</c:v>
                </c:pt>
                <c:pt idx="18">
                  <c:v>43338</c:v>
                </c:pt>
                <c:pt idx="19">
                  <c:v>43342</c:v>
                </c:pt>
                <c:pt idx="20">
                  <c:v>43349</c:v>
                </c:pt>
                <c:pt idx="21">
                  <c:v>43366</c:v>
                </c:pt>
                <c:pt idx="22">
                  <c:v>43370</c:v>
                </c:pt>
                <c:pt idx="23">
                  <c:v>43387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</c:numCache>
            </c:numRef>
          </c:xVal>
          <c:yVal>
            <c:numRef>
              <c:f>homola!$E$6:$E$39</c:f>
              <c:numCache>
                <c:formatCode>General</c:formatCode>
                <c:ptCount val="34"/>
                <c:pt idx="0">
                  <c:v>2.5316964285714283</c:v>
                </c:pt>
                <c:pt idx="1">
                  <c:v>2.4297916666666866</c:v>
                </c:pt>
                <c:pt idx="2">
                  <c:v>3.0316666666666463</c:v>
                </c:pt>
                <c:pt idx="3">
                  <c:v>3.34375</c:v>
                </c:pt>
                <c:pt idx="4">
                  <c:v>3.0093750000000004</c:v>
                </c:pt>
                <c:pt idx="5">
                  <c:v>3.0093750000000004</c:v>
                </c:pt>
                <c:pt idx="6">
                  <c:v>2.7864583333333335</c:v>
                </c:pt>
                <c:pt idx="7">
                  <c:v>2.6081249999999594</c:v>
                </c:pt>
                <c:pt idx="8">
                  <c:v>2.8533333333333739</c:v>
                </c:pt>
                <c:pt idx="9">
                  <c:v>3.0929687499999998</c:v>
                </c:pt>
                <c:pt idx="10">
                  <c:v>3.2482142857142855</c:v>
                </c:pt>
                <c:pt idx="11">
                  <c:v>3.2959821428571425</c:v>
                </c:pt>
                <c:pt idx="12">
                  <c:v>4.0960937499999996</c:v>
                </c:pt>
                <c:pt idx="13">
                  <c:v>2.8326339285714282</c:v>
                </c:pt>
                <c:pt idx="14">
                  <c:v>1.6049999999999998</c:v>
                </c:pt>
                <c:pt idx="15">
                  <c:v>1.1368749999999999</c:v>
                </c:pt>
                <c:pt idx="16">
                  <c:v>0.63240489130434785</c:v>
                </c:pt>
                <c:pt idx="17">
                  <c:v>0.56056985294117645</c:v>
                </c:pt>
                <c:pt idx="18">
                  <c:v>0.23934210526315786</c:v>
                </c:pt>
                <c:pt idx="19">
                  <c:v>0.25914062500003038</c:v>
                </c:pt>
                <c:pt idx="20">
                  <c:v>0.22450892857137641</c:v>
                </c:pt>
                <c:pt idx="21">
                  <c:v>0.25963235294119075</c:v>
                </c:pt>
                <c:pt idx="22">
                  <c:v>1.4210937499999998</c:v>
                </c:pt>
                <c:pt idx="23">
                  <c:v>1.22145220588236</c:v>
                </c:pt>
                <c:pt idx="28">
                  <c:v>2.6642137096774188</c:v>
                </c:pt>
                <c:pt idx="29">
                  <c:v>3.0309475806451611</c:v>
                </c:pt>
                <c:pt idx="30">
                  <c:v>3.0571428571428569</c:v>
                </c:pt>
                <c:pt idx="31">
                  <c:v>1.995463709677419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DFD-49E6-8189-A8DD93613772}"/>
            </c:ext>
          </c:extLst>
        </c:ser>
        <c:ser>
          <c:idx val="1"/>
          <c:order val="1"/>
          <c:tx>
            <c:strRef>
              <c:f>homola!$F$4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homola!$A$6:$A$39</c:f>
              <c:numCache>
                <c:formatCode>dd/mm/yy;@</c:formatCode>
                <c:ptCount val="34"/>
                <c:pt idx="0">
                  <c:v>43107</c:v>
                </c:pt>
                <c:pt idx="1">
                  <c:v>43113</c:v>
                </c:pt>
                <c:pt idx="2">
                  <c:v>43119</c:v>
                </c:pt>
                <c:pt idx="3">
                  <c:v>43120</c:v>
                </c:pt>
                <c:pt idx="4">
                  <c:v>43124</c:v>
                </c:pt>
                <c:pt idx="5">
                  <c:v>43125</c:v>
                </c:pt>
                <c:pt idx="6">
                  <c:v>43128</c:v>
                </c:pt>
                <c:pt idx="7">
                  <c:v>43131</c:v>
                </c:pt>
                <c:pt idx="8">
                  <c:v>43134</c:v>
                </c:pt>
                <c:pt idx="9">
                  <c:v>43142</c:v>
                </c:pt>
                <c:pt idx="10">
                  <c:v>43149</c:v>
                </c:pt>
                <c:pt idx="11">
                  <c:v>43156</c:v>
                </c:pt>
                <c:pt idx="12">
                  <c:v>43158</c:v>
                </c:pt>
                <c:pt idx="13">
                  <c:v>43193</c:v>
                </c:pt>
                <c:pt idx="14">
                  <c:v>43198</c:v>
                </c:pt>
                <c:pt idx="15">
                  <c:v>43203</c:v>
                </c:pt>
                <c:pt idx="16">
                  <c:v>43226</c:v>
                </c:pt>
                <c:pt idx="17">
                  <c:v>43243</c:v>
                </c:pt>
                <c:pt idx="18">
                  <c:v>43338</c:v>
                </c:pt>
                <c:pt idx="19">
                  <c:v>43342</c:v>
                </c:pt>
                <c:pt idx="20">
                  <c:v>43349</c:v>
                </c:pt>
                <c:pt idx="21">
                  <c:v>43366</c:v>
                </c:pt>
                <c:pt idx="22">
                  <c:v>43370</c:v>
                </c:pt>
                <c:pt idx="23">
                  <c:v>43387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</c:numCache>
            </c:numRef>
          </c:xVal>
          <c:yVal>
            <c:numRef>
              <c:f>homola!$F$6:$F$39</c:f>
              <c:numCache>
                <c:formatCode>General</c:formatCode>
                <c:ptCount val="34"/>
                <c:pt idx="0">
                  <c:v>2.0793571428571349</c:v>
                </c:pt>
                <c:pt idx="1">
                  <c:v>2.3815000000000004</c:v>
                </c:pt>
                <c:pt idx="2">
                  <c:v>2.7840000000000091</c:v>
                </c:pt>
                <c:pt idx="3">
                  <c:v>2.8315000000000001</c:v>
                </c:pt>
                <c:pt idx="4">
                  <c:v>2.647750000000014</c:v>
                </c:pt>
                <c:pt idx="5">
                  <c:v>2.2615000000001095</c:v>
                </c:pt>
                <c:pt idx="6">
                  <c:v>2.4565000000000001</c:v>
                </c:pt>
                <c:pt idx="7">
                  <c:v>2.0564999999999998</c:v>
                </c:pt>
                <c:pt idx="8">
                  <c:v>2.4764999999999819</c:v>
                </c:pt>
                <c:pt idx="9">
                  <c:v>3.0471250000000003</c:v>
                </c:pt>
                <c:pt idx="10">
                  <c:v>2.934357142857166</c:v>
                </c:pt>
                <c:pt idx="11">
                  <c:v>3.470071428571452</c:v>
                </c:pt>
                <c:pt idx="12">
                  <c:v>4.4664999999999457</c:v>
                </c:pt>
                <c:pt idx="13">
                  <c:v>2.5940714285714148</c:v>
                </c:pt>
                <c:pt idx="14">
                  <c:v>1.4305000000000327</c:v>
                </c:pt>
                <c:pt idx="15">
                  <c:v>0.74649999999994543</c:v>
                </c:pt>
                <c:pt idx="16">
                  <c:v>0.59584782608696119</c:v>
                </c:pt>
                <c:pt idx="17">
                  <c:v>0.47561764705883947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1.4102499999999456</c:v>
                </c:pt>
                <c:pt idx="23">
                  <c:v>1.1267941176470362</c:v>
                </c:pt>
                <c:pt idx="26">
                  <c:v>1.3764999999999965</c:v>
                </c:pt>
                <c:pt idx="27">
                  <c:v>2.2339999999999636</c:v>
                </c:pt>
                <c:pt idx="28">
                  <c:v>2.4685967741935309</c:v>
                </c:pt>
                <c:pt idx="29">
                  <c:v>2.8982741935484011</c:v>
                </c:pt>
                <c:pt idx="30">
                  <c:v>2.9820357142857259</c:v>
                </c:pt>
                <c:pt idx="31">
                  <c:v>2.2164999999999542</c:v>
                </c:pt>
                <c:pt idx="32">
                  <c:v>1.9364999999999817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DFD-49E6-8189-A8DD93613772}"/>
            </c:ext>
          </c:extLst>
        </c:ser>
        <c:axId val="146969344"/>
        <c:axId val="146970880"/>
      </c:scatterChart>
      <c:valAx>
        <c:axId val="146969344"/>
        <c:scaling>
          <c:orientation val="minMax"/>
        </c:scaling>
        <c:axPos val="b"/>
        <c:majorGridlines/>
        <c:minorGridlines/>
        <c:numFmt formatCode="dd/mm/yy;@" sourceLinked="1"/>
        <c:tickLblPos val="nextTo"/>
        <c:crossAx val="146970880"/>
        <c:crosses val="autoZero"/>
        <c:crossBetween val="midCat"/>
        <c:majorUnit val="180"/>
        <c:minorUnit val="30"/>
      </c:valAx>
      <c:valAx>
        <c:axId val="146970880"/>
        <c:scaling>
          <c:orientation val="minMax"/>
        </c:scaling>
        <c:axPos val="l"/>
        <c:majorGridlines/>
        <c:numFmt formatCode="General" sourceLinked="1"/>
        <c:tickLblPos val="nextTo"/>
        <c:crossAx val="14696934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homola!$R$34:$R$41</c:f>
              <c:numCache>
                <c:formatCode>General</c:formatCode>
                <c:ptCount val="8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</c:numCache>
            </c:numRef>
          </c:xVal>
          <c:yVal>
            <c:numRef>
              <c:f>homola!$S$34:$S$41</c:f>
              <c:numCache>
                <c:formatCode>General</c:formatCode>
                <c:ptCount val="8"/>
                <c:pt idx="0">
                  <c:v>2584</c:v>
                </c:pt>
                <c:pt idx="1">
                  <c:v>2542</c:v>
                </c:pt>
                <c:pt idx="2">
                  <c:v>2562</c:v>
                </c:pt>
                <c:pt idx="3">
                  <c:v>2542</c:v>
                </c:pt>
                <c:pt idx="4">
                  <c:v>2505</c:v>
                </c:pt>
                <c:pt idx="5">
                  <c:v>2150</c:v>
                </c:pt>
                <c:pt idx="6">
                  <c:v>2117</c:v>
                </c:pt>
                <c:pt idx="7">
                  <c:v>2048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41C-4754-B3C8-A81414479F68}"/>
            </c:ext>
          </c:extLst>
        </c:ser>
        <c:axId val="121177600"/>
        <c:axId val="121179136"/>
      </c:scatterChart>
      <c:valAx>
        <c:axId val="121177600"/>
        <c:scaling>
          <c:orientation val="minMax"/>
        </c:scaling>
        <c:axPos val="b"/>
        <c:numFmt formatCode="General" sourceLinked="1"/>
        <c:tickLblPos val="nextTo"/>
        <c:crossAx val="121179136"/>
        <c:crosses val="autoZero"/>
        <c:crossBetween val="midCat"/>
      </c:valAx>
      <c:valAx>
        <c:axId val="121179136"/>
        <c:scaling>
          <c:orientation val="minMax"/>
        </c:scaling>
        <c:axPos val="l"/>
        <c:majorGridlines/>
        <c:numFmt formatCode="General" sourceLinked="1"/>
        <c:tickLblPos val="nextTo"/>
        <c:crossAx val="121177600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Venkovní teplota (°C) / topný výkon (kW)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homola!$E$4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homola!$D$5:$D$48</c:f>
              <c:numCache>
                <c:formatCode>General</c:formatCode>
                <c:ptCount val="44"/>
                <c:pt idx="0">
                  <c:v>1.2328571428574546</c:v>
                </c:pt>
                <c:pt idx="1">
                  <c:v>4.8042857142857667</c:v>
                </c:pt>
                <c:pt idx="2">
                  <c:v>2.79</c:v>
                </c:pt>
                <c:pt idx="3">
                  <c:v>0.10666666666660607</c:v>
                </c:pt>
                <c:pt idx="4">
                  <c:v>-0.20999999999999996</c:v>
                </c:pt>
                <c:pt idx="5">
                  <c:v>1.0149999999999091</c:v>
                </c:pt>
                <c:pt idx="6">
                  <c:v>3.5899999999992724</c:v>
                </c:pt>
                <c:pt idx="7">
                  <c:v>2.29</c:v>
                </c:pt>
                <c:pt idx="8">
                  <c:v>4.956666666666667</c:v>
                </c:pt>
                <c:pt idx="9">
                  <c:v>2.156666666666788</c:v>
                </c:pt>
                <c:pt idx="10">
                  <c:v>-1.6475</c:v>
                </c:pt>
                <c:pt idx="11">
                  <c:v>-0.89571428571444156</c:v>
                </c:pt>
                <c:pt idx="12">
                  <c:v>-4.4671428571430134</c:v>
                </c:pt>
                <c:pt idx="13">
                  <c:v>-11.109999999999637</c:v>
                </c:pt>
                <c:pt idx="14">
                  <c:v>1.3728571428572365</c:v>
                </c:pt>
                <c:pt idx="15">
                  <c:v>9.1299999999997823</c:v>
                </c:pt>
                <c:pt idx="16">
                  <c:v>13.690000000000364</c:v>
                </c:pt>
                <c:pt idx="17">
                  <c:v>14.694347826086926</c:v>
                </c:pt>
                <c:pt idx="18">
                  <c:v>15.49588235294107</c:v>
                </c:pt>
                <c:pt idx="19">
                  <c:v>20.381578947368389</c:v>
                </c:pt>
                <c:pt idx="20">
                  <c:v>18.190000000000545</c:v>
                </c:pt>
                <c:pt idx="21">
                  <c:v>17.032857142857505</c:v>
                </c:pt>
                <c:pt idx="22">
                  <c:v>17.478235294117475</c:v>
                </c:pt>
                <c:pt idx="23">
                  <c:v>9.2650000000003629</c:v>
                </c:pt>
                <c:pt idx="24">
                  <c:v>11.154705882353092</c:v>
                </c:pt>
                <c:pt idx="27">
                  <c:v>9.4900000000000233</c:v>
                </c:pt>
                <c:pt idx="28">
                  <c:v>3.7733333333335759</c:v>
                </c:pt>
                <c:pt idx="29">
                  <c:v>2.2093548387097948</c:v>
                </c:pt>
                <c:pt idx="30">
                  <c:v>-0.65516129032267445</c:v>
                </c:pt>
                <c:pt idx="31">
                  <c:v>-1.2135714285715065</c:v>
                </c:pt>
                <c:pt idx="32">
                  <c:v>3.8900000000003052</c:v>
                </c:pt>
                <c:pt idx="33">
                  <c:v>5.7566666666667876</c:v>
                </c:pt>
                <c:pt idx="36">
                  <c:v>6.0547058823529678</c:v>
                </c:pt>
                <c:pt idx="37">
                  <c:v>-0.72395348837214379</c:v>
                </c:pt>
                <c:pt idx="40">
                  <c:v>1.5699999999999998</c:v>
                </c:pt>
                <c:pt idx="43">
                  <c:v>3.3823076923074682</c:v>
                </c:pt>
              </c:numCache>
            </c:numRef>
          </c:xVal>
          <c:yVal>
            <c:numRef>
              <c:f>homola!$E$5:$E$48</c:f>
              <c:numCache>
                <c:formatCode>General</c:formatCode>
                <c:ptCount val="44"/>
                <c:pt idx="1">
                  <c:v>2.5316964285714283</c:v>
                </c:pt>
                <c:pt idx="2">
                  <c:v>2.4297916666666866</c:v>
                </c:pt>
                <c:pt idx="3">
                  <c:v>3.0316666666666463</c:v>
                </c:pt>
                <c:pt idx="4">
                  <c:v>3.34375</c:v>
                </c:pt>
                <c:pt idx="5">
                  <c:v>3.0093750000000004</c:v>
                </c:pt>
                <c:pt idx="6">
                  <c:v>3.0093750000000004</c:v>
                </c:pt>
                <c:pt idx="7">
                  <c:v>2.7864583333333335</c:v>
                </c:pt>
                <c:pt idx="8">
                  <c:v>2.6081249999999594</c:v>
                </c:pt>
                <c:pt idx="9">
                  <c:v>2.8533333333333739</c:v>
                </c:pt>
                <c:pt idx="10">
                  <c:v>3.0929687499999998</c:v>
                </c:pt>
                <c:pt idx="11">
                  <c:v>3.2482142857142855</c:v>
                </c:pt>
                <c:pt idx="12">
                  <c:v>3.2959821428571425</c:v>
                </c:pt>
                <c:pt idx="13">
                  <c:v>4.0960937499999996</c:v>
                </c:pt>
                <c:pt idx="14">
                  <c:v>2.8326339285714282</c:v>
                </c:pt>
                <c:pt idx="15">
                  <c:v>1.6049999999999998</c:v>
                </c:pt>
                <c:pt idx="16">
                  <c:v>1.1368749999999999</c:v>
                </c:pt>
                <c:pt idx="17">
                  <c:v>0.63240489130434785</c:v>
                </c:pt>
                <c:pt idx="18">
                  <c:v>0.56056985294117645</c:v>
                </c:pt>
                <c:pt idx="19">
                  <c:v>0.23934210526315786</c:v>
                </c:pt>
                <c:pt idx="20">
                  <c:v>0.25914062500003038</c:v>
                </c:pt>
                <c:pt idx="21">
                  <c:v>0.22450892857137641</c:v>
                </c:pt>
                <c:pt idx="22">
                  <c:v>0.25963235294119075</c:v>
                </c:pt>
                <c:pt idx="23">
                  <c:v>1.4210937499999998</c:v>
                </c:pt>
                <c:pt idx="24">
                  <c:v>1.22145220588236</c:v>
                </c:pt>
                <c:pt idx="29">
                  <c:v>2.6642137096774188</c:v>
                </c:pt>
                <c:pt idx="30">
                  <c:v>3.0309475806451611</c:v>
                </c:pt>
                <c:pt idx="31">
                  <c:v>3.0571428571428569</c:v>
                </c:pt>
                <c:pt idx="32">
                  <c:v>1.995463709677419</c:v>
                </c:pt>
                <c:pt idx="36">
                  <c:v>2.0308363970588235</c:v>
                </c:pt>
                <c:pt idx="37">
                  <c:v>2.9316133720930231</c:v>
                </c:pt>
                <c:pt idx="40">
                  <c:v>3.0873958333333329</c:v>
                </c:pt>
                <c:pt idx="43">
                  <c:v>2.5178437499999999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5B8-44C2-BF23-D280C31002E1}"/>
            </c:ext>
          </c:extLst>
        </c:ser>
        <c:axId val="121191040"/>
        <c:axId val="121237888"/>
      </c:scatterChart>
      <c:valAx>
        <c:axId val="121191040"/>
        <c:scaling>
          <c:orientation val="minMax"/>
        </c:scaling>
        <c:axPos val="b"/>
        <c:minorGridlines/>
        <c:numFmt formatCode="General" sourceLinked="1"/>
        <c:tickLblPos val="nextTo"/>
        <c:crossAx val="121237888"/>
        <c:crosses val="autoZero"/>
        <c:crossBetween val="midCat"/>
      </c:valAx>
      <c:valAx>
        <c:axId val="121237888"/>
        <c:scaling>
          <c:orientation val="minMax"/>
        </c:scaling>
        <c:axPos val="l"/>
        <c:majorGridlines/>
        <c:numFmt formatCode="General" sourceLinked="1"/>
        <c:tickLblPos val="nextTo"/>
        <c:crossAx val="12119104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homola!$Q$45:$Q$72</c:f>
              <c:numCache>
                <c:formatCode>dd/mm/yy;@</c:formatCode>
                <c:ptCount val="28"/>
                <c:pt idx="0">
                  <c:v>43100</c:v>
                </c:pt>
                <c:pt idx="1">
                  <c:v>43107</c:v>
                </c:pt>
                <c:pt idx="2">
                  <c:v>43113</c:v>
                </c:pt>
                <c:pt idx="3">
                  <c:v>43119</c:v>
                </c:pt>
                <c:pt idx="4">
                  <c:v>43120</c:v>
                </c:pt>
                <c:pt idx="5">
                  <c:v>43124</c:v>
                </c:pt>
                <c:pt idx="6">
                  <c:v>43125</c:v>
                </c:pt>
                <c:pt idx="7">
                  <c:v>43128</c:v>
                </c:pt>
                <c:pt idx="8">
                  <c:v>43131</c:v>
                </c:pt>
                <c:pt idx="9">
                  <c:v>43134</c:v>
                </c:pt>
                <c:pt idx="10">
                  <c:v>43142</c:v>
                </c:pt>
                <c:pt idx="11">
                  <c:v>43149</c:v>
                </c:pt>
                <c:pt idx="12">
                  <c:v>43156</c:v>
                </c:pt>
                <c:pt idx="13">
                  <c:v>43158</c:v>
                </c:pt>
                <c:pt idx="14">
                  <c:v>43193</c:v>
                </c:pt>
                <c:pt idx="15">
                  <c:v>43198</c:v>
                </c:pt>
                <c:pt idx="16">
                  <c:v>43203</c:v>
                </c:pt>
                <c:pt idx="17">
                  <c:v>43226</c:v>
                </c:pt>
                <c:pt idx="18">
                  <c:v>43243</c:v>
                </c:pt>
                <c:pt idx="19">
                  <c:v>43338</c:v>
                </c:pt>
                <c:pt idx="20">
                  <c:v>43342</c:v>
                </c:pt>
                <c:pt idx="21">
                  <c:v>43349</c:v>
                </c:pt>
                <c:pt idx="22">
                  <c:v>43366</c:v>
                </c:pt>
                <c:pt idx="23">
                  <c:v>43370</c:v>
                </c:pt>
                <c:pt idx="24">
                  <c:v>43387</c:v>
                </c:pt>
                <c:pt idx="25">
                  <c:v>44322</c:v>
                </c:pt>
                <c:pt idx="26">
                  <c:v>44322</c:v>
                </c:pt>
                <c:pt idx="27">
                  <c:v>44749</c:v>
                </c:pt>
              </c:numCache>
            </c:numRef>
          </c:xVal>
          <c:yVal>
            <c:numRef>
              <c:f>homola!$R$45:$R$72</c:f>
              <c:numCache>
                <c:formatCode>General</c:formatCode>
                <c:ptCount val="28"/>
                <c:pt idx="0">
                  <c:v>10904</c:v>
                </c:pt>
                <c:pt idx="1">
                  <c:v>10957</c:v>
                </c:pt>
                <c:pt idx="2">
                  <c:v>11000.6</c:v>
                </c:pt>
                <c:pt idx="3">
                  <c:v>11055</c:v>
                </c:pt>
                <c:pt idx="4">
                  <c:v>11065</c:v>
                </c:pt>
                <c:pt idx="5">
                  <c:v>11101</c:v>
                </c:pt>
                <c:pt idx="6">
                  <c:v>11110</c:v>
                </c:pt>
                <c:pt idx="7">
                  <c:v>11135</c:v>
                </c:pt>
                <c:pt idx="8">
                  <c:v>11158.4</c:v>
                </c:pt>
                <c:pt idx="9">
                  <c:v>11184</c:v>
                </c:pt>
                <c:pt idx="10">
                  <c:v>11258</c:v>
                </c:pt>
                <c:pt idx="11">
                  <c:v>11326</c:v>
                </c:pt>
                <c:pt idx="12">
                  <c:v>11395</c:v>
                </c:pt>
                <c:pt idx="13">
                  <c:v>11419.5</c:v>
                </c:pt>
                <c:pt idx="14">
                  <c:v>11716</c:v>
                </c:pt>
                <c:pt idx="15">
                  <c:v>11740</c:v>
                </c:pt>
                <c:pt idx="16">
                  <c:v>11757</c:v>
                </c:pt>
                <c:pt idx="17">
                  <c:v>11800.5</c:v>
                </c:pt>
                <c:pt idx="18">
                  <c:v>11829</c:v>
                </c:pt>
                <c:pt idx="19">
                  <c:v>11897</c:v>
                </c:pt>
                <c:pt idx="20">
                  <c:v>11900.1</c:v>
                </c:pt>
                <c:pt idx="21">
                  <c:v>11904.8</c:v>
                </c:pt>
                <c:pt idx="22">
                  <c:v>11918</c:v>
                </c:pt>
                <c:pt idx="23">
                  <c:v>11935</c:v>
                </c:pt>
                <c:pt idx="24">
                  <c:v>11997.1</c:v>
                </c:pt>
                <c:pt idx="25">
                  <c:v>16889.792000000001</c:v>
                </c:pt>
                <c:pt idx="26">
                  <c:v>16889.942000000003</c:v>
                </c:pt>
                <c:pt idx="27">
                  <c:v>18523.792000000001</c:v>
                </c:pt>
              </c:numCache>
            </c:numRef>
          </c:yVal>
        </c:ser>
        <c:axId val="147013632"/>
        <c:axId val="147015168"/>
      </c:scatterChart>
      <c:valAx>
        <c:axId val="147013632"/>
        <c:scaling>
          <c:orientation val="minMax"/>
        </c:scaling>
        <c:axPos val="b"/>
        <c:majorGridlines/>
        <c:numFmt formatCode="dd/mm/yy;@" sourceLinked="1"/>
        <c:tickLblPos val="nextTo"/>
        <c:crossAx val="147015168"/>
        <c:crosses val="autoZero"/>
        <c:crossBetween val="midCat"/>
        <c:majorUnit val="365"/>
      </c:valAx>
      <c:valAx>
        <c:axId val="147015168"/>
        <c:scaling>
          <c:orientation val="minMax"/>
        </c:scaling>
        <c:axPos val="l"/>
        <c:majorGridlines/>
        <c:numFmt formatCode="General" sourceLinked="1"/>
        <c:tickLblPos val="nextTo"/>
        <c:crossAx val="1470136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užitá výroba  FVE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verovice!$K$5</c:f>
              <c:strCache>
                <c:ptCount val="1"/>
                <c:pt idx="0">
                  <c:v>užitá výroba FVE</c:v>
                </c:pt>
              </c:strCache>
            </c:strRef>
          </c:tx>
          <c:marker>
            <c:symbol val="none"/>
          </c:marker>
          <c:xVal>
            <c:numRef>
              <c:f>verovice!$A$6:$A$51</c:f>
              <c:numCache>
                <c:formatCode>dd/mm/yyyy</c:formatCode>
                <c:ptCount val="46"/>
                <c:pt idx="0">
                  <c:v>42125.5</c:v>
                </c:pt>
                <c:pt idx="1">
                  <c:v>42156.5</c:v>
                </c:pt>
                <c:pt idx="2">
                  <c:v>42186.5</c:v>
                </c:pt>
                <c:pt idx="3">
                  <c:v>42217.5</c:v>
                </c:pt>
                <c:pt idx="4">
                  <c:v>42248.5</c:v>
                </c:pt>
                <c:pt idx="5">
                  <c:v>42278.5</c:v>
                </c:pt>
                <c:pt idx="6">
                  <c:v>42309.5</c:v>
                </c:pt>
                <c:pt idx="7">
                  <c:v>42339.5</c:v>
                </c:pt>
                <c:pt idx="8">
                  <c:v>42370.5</c:v>
                </c:pt>
                <c:pt idx="9">
                  <c:v>42401.5</c:v>
                </c:pt>
                <c:pt idx="10">
                  <c:v>42430.5</c:v>
                </c:pt>
                <c:pt idx="11">
                  <c:v>42461.5</c:v>
                </c:pt>
                <c:pt idx="12">
                  <c:v>42491.5</c:v>
                </c:pt>
                <c:pt idx="13">
                  <c:v>42522.5</c:v>
                </c:pt>
                <c:pt idx="14">
                  <c:v>42552.5</c:v>
                </c:pt>
                <c:pt idx="15">
                  <c:v>42583.5</c:v>
                </c:pt>
                <c:pt idx="16">
                  <c:v>42614.5</c:v>
                </c:pt>
                <c:pt idx="17">
                  <c:v>42644.5</c:v>
                </c:pt>
                <c:pt idx="18">
                  <c:v>42675.5</c:v>
                </c:pt>
                <c:pt idx="19">
                  <c:v>42705.5</c:v>
                </c:pt>
                <c:pt idx="20">
                  <c:v>42736.5</c:v>
                </c:pt>
                <c:pt idx="21">
                  <c:v>42767.5</c:v>
                </c:pt>
                <c:pt idx="22">
                  <c:v>42795.5</c:v>
                </c:pt>
                <c:pt idx="23">
                  <c:v>42826.5</c:v>
                </c:pt>
                <c:pt idx="24">
                  <c:v>42856.5</c:v>
                </c:pt>
                <c:pt idx="25">
                  <c:v>42887.5</c:v>
                </c:pt>
                <c:pt idx="26">
                  <c:v>42917.5</c:v>
                </c:pt>
                <c:pt idx="27">
                  <c:v>42948.5</c:v>
                </c:pt>
                <c:pt idx="28">
                  <c:v>42979.5</c:v>
                </c:pt>
                <c:pt idx="29">
                  <c:v>43009.5</c:v>
                </c:pt>
                <c:pt idx="30">
                  <c:v>43040.5</c:v>
                </c:pt>
                <c:pt idx="31">
                  <c:v>43070.5</c:v>
                </c:pt>
                <c:pt idx="32">
                  <c:v>43101.5</c:v>
                </c:pt>
                <c:pt idx="33">
                  <c:v>43132.5</c:v>
                </c:pt>
                <c:pt idx="34">
                  <c:v>43160.5</c:v>
                </c:pt>
                <c:pt idx="35">
                  <c:v>43191.5</c:v>
                </c:pt>
                <c:pt idx="36">
                  <c:v>43221.5</c:v>
                </c:pt>
                <c:pt idx="37">
                  <c:v>43252.5</c:v>
                </c:pt>
                <c:pt idx="38">
                  <c:v>43282.5</c:v>
                </c:pt>
                <c:pt idx="39">
                  <c:v>43313.5</c:v>
                </c:pt>
                <c:pt idx="40">
                  <c:v>43344.5</c:v>
                </c:pt>
                <c:pt idx="41">
                  <c:v>43374.5</c:v>
                </c:pt>
                <c:pt idx="42">
                  <c:v>43405.5</c:v>
                </c:pt>
                <c:pt idx="43">
                  <c:v>43435.5</c:v>
                </c:pt>
                <c:pt idx="44">
                  <c:v>43466.5</c:v>
                </c:pt>
                <c:pt idx="45">
                  <c:v>43497.5</c:v>
                </c:pt>
              </c:numCache>
            </c:numRef>
          </c:xVal>
          <c:yVal>
            <c:numRef>
              <c:f>verovice!$K$6:$K$51</c:f>
              <c:numCache>
                <c:formatCode>General</c:formatCode>
                <c:ptCount val="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70.999999999999986</c:v>
                </c:pt>
                <c:pt idx="16">
                  <c:v>161</c:v>
                </c:pt>
                <c:pt idx="17">
                  <c:v>305</c:v>
                </c:pt>
                <c:pt idx="18">
                  <c:v>433</c:v>
                </c:pt>
                <c:pt idx="19">
                  <c:v>503</c:v>
                </c:pt>
                <c:pt idx="20">
                  <c:v>559</c:v>
                </c:pt>
                <c:pt idx="21">
                  <c:v>623</c:v>
                </c:pt>
                <c:pt idx="22">
                  <c:v>707</c:v>
                </c:pt>
                <c:pt idx="23">
                  <c:v>967</c:v>
                </c:pt>
                <c:pt idx="24">
                  <c:v>1223</c:v>
                </c:pt>
                <c:pt idx="25">
                  <c:v>1341</c:v>
                </c:pt>
                <c:pt idx="26">
                  <c:v>1455</c:v>
                </c:pt>
                <c:pt idx="27">
                  <c:v>1526</c:v>
                </c:pt>
                <c:pt idx="28">
                  <c:v>1647</c:v>
                </c:pt>
                <c:pt idx="29">
                  <c:v>1784</c:v>
                </c:pt>
                <c:pt idx="30">
                  <c:v>1952</c:v>
                </c:pt>
                <c:pt idx="31">
                  <c:v>2037</c:v>
                </c:pt>
                <c:pt idx="32">
                  <c:v>2063</c:v>
                </c:pt>
                <c:pt idx="33">
                  <c:v>2113</c:v>
                </c:pt>
                <c:pt idx="34">
                  <c:v>2135</c:v>
                </c:pt>
                <c:pt idx="35">
                  <c:v>2300</c:v>
                </c:pt>
                <c:pt idx="36">
                  <c:v>2431</c:v>
                </c:pt>
                <c:pt idx="37">
                  <c:v>2513</c:v>
                </c:pt>
                <c:pt idx="38">
                  <c:v>2601</c:v>
                </c:pt>
                <c:pt idx="39">
                  <c:v>2686</c:v>
                </c:pt>
                <c:pt idx="40">
                  <c:v>2814</c:v>
                </c:pt>
                <c:pt idx="41">
                  <c:v>2905</c:v>
                </c:pt>
                <c:pt idx="42">
                  <c:v>3095</c:v>
                </c:pt>
                <c:pt idx="43">
                  <c:v>3184</c:v>
                </c:pt>
                <c:pt idx="44">
                  <c:v>3204</c:v>
                </c:pt>
                <c:pt idx="45">
                  <c:v>3204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3965-444C-B48D-FEFA3941CFC9}"/>
            </c:ext>
          </c:extLst>
        </c:ser>
        <c:ser>
          <c:idx val="1"/>
          <c:order val="1"/>
          <c:tx>
            <c:strRef>
              <c:f>verovice!$L$5</c:f>
              <c:strCache>
                <c:ptCount val="1"/>
                <c:pt idx="0">
                  <c:v>celková výroba FVE</c:v>
                </c:pt>
              </c:strCache>
            </c:strRef>
          </c:tx>
          <c:marker>
            <c:symbol val="none"/>
          </c:marker>
          <c:xVal>
            <c:numRef>
              <c:f>verovice!$A$6:$A$51</c:f>
              <c:numCache>
                <c:formatCode>dd/mm/yyyy</c:formatCode>
                <c:ptCount val="46"/>
                <c:pt idx="0">
                  <c:v>42125.5</c:v>
                </c:pt>
                <c:pt idx="1">
                  <c:v>42156.5</c:v>
                </c:pt>
                <c:pt idx="2">
                  <c:v>42186.5</c:v>
                </c:pt>
                <c:pt idx="3">
                  <c:v>42217.5</c:v>
                </c:pt>
                <c:pt idx="4">
                  <c:v>42248.5</c:v>
                </c:pt>
                <c:pt idx="5">
                  <c:v>42278.5</c:v>
                </c:pt>
                <c:pt idx="6">
                  <c:v>42309.5</c:v>
                </c:pt>
                <c:pt idx="7">
                  <c:v>42339.5</c:v>
                </c:pt>
                <c:pt idx="8">
                  <c:v>42370.5</c:v>
                </c:pt>
                <c:pt idx="9">
                  <c:v>42401.5</c:v>
                </c:pt>
                <c:pt idx="10">
                  <c:v>42430.5</c:v>
                </c:pt>
                <c:pt idx="11">
                  <c:v>42461.5</c:v>
                </c:pt>
                <c:pt idx="12">
                  <c:v>42491.5</c:v>
                </c:pt>
                <c:pt idx="13">
                  <c:v>42522.5</c:v>
                </c:pt>
                <c:pt idx="14">
                  <c:v>42552.5</c:v>
                </c:pt>
                <c:pt idx="15">
                  <c:v>42583.5</c:v>
                </c:pt>
                <c:pt idx="16">
                  <c:v>42614.5</c:v>
                </c:pt>
                <c:pt idx="17">
                  <c:v>42644.5</c:v>
                </c:pt>
                <c:pt idx="18">
                  <c:v>42675.5</c:v>
                </c:pt>
                <c:pt idx="19">
                  <c:v>42705.5</c:v>
                </c:pt>
                <c:pt idx="20">
                  <c:v>42736.5</c:v>
                </c:pt>
                <c:pt idx="21">
                  <c:v>42767.5</c:v>
                </c:pt>
                <c:pt idx="22">
                  <c:v>42795.5</c:v>
                </c:pt>
                <c:pt idx="23">
                  <c:v>42826.5</c:v>
                </c:pt>
                <c:pt idx="24">
                  <c:v>42856.5</c:v>
                </c:pt>
                <c:pt idx="25">
                  <c:v>42887.5</c:v>
                </c:pt>
                <c:pt idx="26">
                  <c:v>42917.5</c:v>
                </c:pt>
                <c:pt idx="27">
                  <c:v>42948.5</c:v>
                </c:pt>
                <c:pt idx="28">
                  <c:v>42979.5</c:v>
                </c:pt>
                <c:pt idx="29">
                  <c:v>43009.5</c:v>
                </c:pt>
                <c:pt idx="30">
                  <c:v>43040.5</c:v>
                </c:pt>
                <c:pt idx="31">
                  <c:v>43070.5</c:v>
                </c:pt>
                <c:pt idx="32">
                  <c:v>43101.5</c:v>
                </c:pt>
                <c:pt idx="33">
                  <c:v>43132.5</c:v>
                </c:pt>
                <c:pt idx="34">
                  <c:v>43160.5</c:v>
                </c:pt>
                <c:pt idx="35">
                  <c:v>43191.5</c:v>
                </c:pt>
                <c:pt idx="36">
                  <c:v>43221.5</c:v>
                </c:pt>
                <c:pt idx="37">
                  <c:v>43252.5</c:v>
                </c:pt>
                <c:pt idx="38">
                  <c:v>43282.5</c:v>
                </c:pt>
                <c:pt idx="39">
                  <c:v>43313.5</c:v>
                </c:pt>
                <c:pt idx="40">
                  <c:v>43344.5</c:v>
                </c:pt>
                <c:pt idx="41">
                  <c:v>43374.5</c:v>
                </c:pt>
                <c:pt idx="42">
                  <c:v>43405.5</c:v>
                </c:pt>
                <c:pt idx="43">
                  <c:v>43435.5</c:v>
                </c:pt>
                <c:pt idx="44">
                  <c:v>43466.5</c:v>
                </c:pt>
                <c:pt idx="45">
                  <c:v>43497.5</c:v>
                </c:pt>
              </c:numCache>
            </c:numRef>
          </c:xVal>
          <c:yVal>
            <c:numRef>
              <c:f>verovice!$L$6:$L$51</c:f>
              <c:numCache>
                <c:formatCode>General</c:formatCode>
                <c:ptCount val="4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182</c:v>
                </c:pt>
                <c:pt idx="16">
                  <c:v>592</c:v>
                </c:pt>
                <c:pt idx="17">
                  <c:v>907</c:v>
                </c:pt>
                <c:pt idx="18">
                  <c:v>1035</c:v>
                </c:pt>
                <c:pt idx="19">
                  <c:v>1105</c:v>
                </c:pt>
                <c:pt idx="20">
                  <c:v>1161</c:v>
                </c:pt>
                <c:pt idx="21">
                  <c:v>1225</c:v>
                </c:pt>
                <c:pt idx="22">
                  <c:v>1309</c:v>
                </c:pt>
                <c:pt idx="23">
                  <c:v>1569</c:v>
                </c:pt>
                <c:pt idx="24">
                  <c:v>1825</c:v>
                </c:pt>
                <c:pt idx="25">
                  <c:v>2230</c:v>
                </c:pt>
                <c:pt idx="26">
                  <c:v>2722</c:v>
                </c:pt>
                <c:pt idx="27">
                  <c:v>3164</c:v>
                </c:pt>
                <c:pt idx="28">
                  <c:v>3570</c:v>
                </c:pt>
                <c:pt idx="29">
                  <c:v>3765</c:v>
                </c:pt>
                <c:pt idx="30">
                  <c:v>3933</c:v>
                </c:pt>
                <c:pt idx="31">
                  <c:v>4018</c:v>
                </c:pt>
                <c:pt idx="32">
                  <c:v>4044</c:v>
                </c:pt>
                <c:pt idx="33">
                  <c:v>4094</c:v>
                </c:pt>
                <c:pt idx="34">
                  <c:v>4116</c:v>
                </c:pt>
                <c:pt idx="35">
                  <c:v>4281</c:v>
                </c:pt>
                <c:pt idx="36">
                  <c:v>4689</c:v>
                </c:pt>
                <c:pt idx="37">
                  <c:v>5019</c:v>
                </c:pt>
                <c:pt idx="38">
                  <c:v>5305</c:v>
                </c:pt>
                <c:pt idx="39">
                  <c:v>5729</c:v>
                </c:pt>
                <c:pt idx="40">
                  <c:v>6170</c:v>
                </c:pt>
                <c:pt idx="41">
                  <c:v>6486</c:v>
                </c:pt>
                <c:pt idx="42">
                  <c:v>6676</c:v>
                </c:pt>
                <c:pt idx="43">
                  <c:v>6765</c:v>
                </c:pt>
                <c:pt idx="44">
                  <c:v>6785</c:v>
                </c:pt>
                <c:pt idx="45">
                  <c:v>6785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3965-444C-B48D-FEFA3941CFC9}"/>
            </c:ext>
          </c:extLst>
        </c:ser>
        <c:axId val="118404608"/>
        <c:axId val="118406144"/>
      </c:scatterChart>
      <c:valAx>
        <c:axId val="118404608"/>
        <c:scaling>
          <c:orientation val="minMax"/>
        </c:scaling>
        <c:axPos val="b"/>
        <c:majorGridlines/>
        <c:numFmt formatCode="dd/mm/yyyy" sourceLinked="1"/>
        <c:tickLblPos val="nextTo"/>
        <c:txPr>
          <a:bodyPr rot="-2100000"/>
          <a:lstStyle/>
          <a:p>
            <a:pPr>
              <a:defRPr/>
            </a:pPr>
            <a:endParaRPr lang="cs-CZ"/>
          </a:p>
        </c:txPr>
        <c:crossAx val="118406144"/>
        <c:crosses val="autoZero"/>
        <c:crossBetween val="midCat"/>
        <c:majorUnit val="365"/>
      </c:valAx>
      <c:valAx>
        <c:axId val="118406144"/>
        <c:scaling>
          <c:orientation val="minMax"/>
        </c:scaling>
        <c:axPos val="l"/>
        <c:majorGridlines/>
        <c:numFmt formatCode="General" sourceLinked="1"/>
        <c:tickLblPos val="nextTo"/>
        <c:crossAx val="1184046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homola!$Q$69:$Q$72</c:f>
              <c:numCache>
                <c:formatCode>dd/mm/yy;@</c:formatCode>
                <c:ptCount val="4"/>
                <c:pt idx="0">
                  <c:v>43387</c:v>
                </c:pt>
                <c:pt idx="1">
                  <c:v>44322</c:v>
                </c:pt>
                <c:pt idx="2">
                  <c:v>44322</c:v>
                </c:pt>
                <c:pt idx="3">
                  <c:v>44749</c:v>
                </c:pt>
              </c:numCache>
            </c:numRef>
          </c:xVal>
          <c:yVal>
            <c:numRef>
              <c:f>homola!$U$69:$U$72</c:f>
              <c:numCache>
                <c:formatCode>General</c:formatCode>
                <c:ptCount val="4"/>
                <c:pt idx="0">
                  <c:v>1.1376936556329853</c:v>
                </c:pt>
                <c:pt idx="1">
                  <c:v>1.5630886340463459</c:v>
                </c:pt>
                <c:pt idx="3">
                  <c:v>1.1429616169008576</c:v>
                </c:pt>
              </c:numCache>
            </c:numRef>
          </c:yVal>
        </c:ser>
        <c:ser>
          <c:idx val="1"/>
          <c:order val="1"/>
          <c:xVal>
            <c:numRef>
              <c:f>homola!$Q$69:$Q$72</c:f>
              <c:numCache>
                <c:formatCode>dd/mm/yy;@</c:formatCode>
                <c:ptCount val="4"/>
                <c:pt idx="0">
                  <c:v>43387</c:v>
                </c:pt>
                <c:pt idx="1">
                  <c:v>44322</c:v>
                </c:pt>
                <c:pt idx="2">
                  <c:v>44322</c:v>
                </c:pt>
                <c:pt idx="3">
                  <c:v>44749</c:v>
                </c:pt>
              </c:numCache>
            </c:numRef>
          </c:xVal>
          <c:yVal>
            <c:numRef>
              <c:f>homola!$V$69:$V$72</c:f>
              <c:numCache>
                <c:formatCode>General</c:formatCode>
                <c:ptCount val="4"/>
                <c:pt idx="0">
                  <c:v>1.1490069686411166</c:v>
                </c:pt>
                <c:pt idx="1">
                  <c:v>1.5223208556149741</c:v>
                </c:pt>
                <c:pt idx="3">
                  <c:v>1.2358196721311638</c:v>
                </c:pt>
              </c:numCache>
            </c:numRef>
          </c:yVal>
        </c:ser>
        <c:axId val="147031552"/>
        <c:axId val="147033088"/>
      </c:scatterChart>
      <c:valAx>
        <c:axId val="147031552"/>
        <c:scaling>
          <c:orientation val="minMax"/>
        </c:scaling>
        <c:axPos val="b"/>
        <c:numFmt formatCode="dd/mm/yy;@" sourceLinked="1"/>
        <c:tickLblPos val="nextTo"/>
        <c:crossAx val="147033088"/>
        <c:crosses val="autoZero"/>
        <c:crossBetween val="midCat"/>
      </c:valAx>
      <c:valAx>
        <c:axId val="147033088"/>
        <c:scaling>
          <c:orientation val="minMax"/>
        </c:scaling>
        <c:axPos val="l"/>
        <c:majorGridlines/>
        <c:numFmt formatCode="General" sourceLinked="1"/>
        <c:tickLblPos val="nextTo"/>
        <c:crossAx val="14703155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 </a:t>
            </a:r>
            <a:r>
              <a:rPr lang="cs-CZ" sz="1000" baseline="0"/>
              <a:t>Topný výkon (kW) a TZ pro denostupně D 18,05 a TZ 7,1 kW/30K U=236,7 W/K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'LG thermaV 9 kW'!$O$4</c:f>
              <c:strCache>
                <c:ptCount val="1"/>
                <c:pt idx="0">
                  <c:v>kW TZ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kW'!$O$5:$O$18</c:f>
              <c:numCache>
                <c:formatCode>General</c:formatCode>
                <c:ptCount val="14"/>
                <c:pt idx="1">
                  <c:v>0.40517333333339545</c:v>
                </c:pt>
                <c:pt idx="2">
                  <c:v>1.704000000000172</c:v>
                </c:pt>
                <c:pt idx="3">
                  <c:v>1.0945833333333332</c:v>
                </c:pt>
                <c:pt idx="4">
                  <c:v>0.79046666666670107</c:v>
                </c:pt>
                <c:pt idx="5">
                  <c:v>2.3240666666665977</c:v>
                </c:pt>
                <c:pt idx="6">
                  <c:v>2.3252500000001723</c:v>
                </c:pt>
                <c:pt idx="7">
                  <c:v>1.4491282051282448</c:v>
                </c:pt>
                <c:pt idx="8">
                  <c:v>2.6240416666666877</c:v>
                </c:pt>
                <c:pt idx="9">
                  <c:v>2.7006296296296486</c:v>
                </c:pt>
                <c:pt idx="10">
                  <c:v>3.7669444444445879</c:v>
                </c:pt>
                <c:pt idx="11">
                  <c:v>2.9908749999999569</c:v>
                </c:pt>
                <c:pt idx="12">
                  <c:v>3.9049999999999998</c:v>
                </c:pt>
                <c:pt idx="13">
                  <c:v>3.313333333333333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332-4E59-B8D4-9EE68868F782}"/>
            </c:ext>
          </c:extLst>
        </c:ser>
        <c:ser>
          <c:idx val="1"/>
          <c:order val="1"/>
          <c:tx>
            <c:strRef>
              <c:f>'LG thermaV 9 kW'!$P$4</c:f>
              <c:strCache>
                <c:ptCount val="1"/>
                <c:pt idx="0">
                  <c:v>kW kalor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kW'!$P$5:$P$18</c:f>
              <c:numCache>
                <c:formatCode>General</c:formatCode>
                <c:ptCount val="14"/>
                <c:pt idx="1">
                  <c:v>0.48657407407407494</c:v>
                </c:pt>
                <c:pt idx="2">
                  <c:v>1.6936728395061456</c:v>
                </c:pt>
                <c:pt idx="3">
                  <c:v>1.6666666666666885</c:v>
                </c:pt>
                <c:pt idx="4">
                  <c:v>1.2962962962962685</c:v>
                </c:pt>
                <c:pt idx="5">
                  <c:v>2.043981481481504</c:v>
                </c:pt>
                <c:pt idx="6">
                  <c:v>2.8096064814814508</c:v>
                </c:pt>
                <c:pt idx="7">
                  <c:v>1.4191595441595515</c:v>
                </c:pt>
                <c:pt idx="8">
                  <c:v>2.3278356481481404</c:v>
                </c:pt>
                <c:pt idx="9">
                  <c:v>2.9115226337448683</c:v>
                </c:pt>
                <c:pt idx="10">
                  <c:v>3.6053240740740731</c:v>
                </c:pt>
                <c:pt idx="11">
                  <c:v>3.0215567129629672</c:v>
                </c:pt>
                <c:pt idx="12">
                  <c:v>4.0847578347578297</c:v>
                </c:pt>
                <c:pt idx="13">
                  <c:v>3.3837632275132186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332-4E59-B8D4-9EE68868F782}"/>
            </c:ext>
          </c:extLst>
        </c:ser>
        <c:axId val="147087360"/>
        <c:axId val="147088896"/>
      </c:scatterChart>
      <c:valAx>
        <c:axId val="147087360"/>
        <c:scaling>
          <c:orientation val="minMax"/>
          <c:min val="43709"/>
        </c:scaling>
        <c:axPos val="b"/>
        <c:majorGridlines/>
        <c:minorGridlines/>
        <c:numFmt formatCode="dd/mmm" sourceLinked="1"/>
        <c:tickLblPos val="nextTo"/>
        <c:crossAx val="147088896"/>
        <c:crosses val="autoZero"/>
        <c:crossBetween val="midCat"/>
        <c:majorUnit val="30.5"/>
        <c:minorUnit val="7.6249999999999645"/>
      </c:valAx>
      <c:valAx>
        <c:axId val="147088896"/>
        <c:scaling>
          <c:orientation val="minMax"/>
        </c:scaling>
        <c:axPos val="l"/>
        <c:majorGridlines/>
        <c:numFmt formatCode="General" sourceLinked="1"/>
        <c:tickLblPos val="nextTo"/>
        <c:crossAx val="14708736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 </a:t>
            </a:r>
            <a:r>
              <a:rPr lang="cs-CZ" sz="1000" baseline="0"/>
              <a:t>Topný výkon (kW) a TZ pro denostupně D 18,05 a TZ 7,1 kW/30K U=236,7 W/K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'LG thermaV 9 kW'!$O$4</c:f>
              <c:strCache>
                <c:ptCount val="1"/>
                <c:pt idx="0">
                  <c:v>kW TZ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kW'!$O$5:$O$18</c:f>
              <c:numCache>
                <c:formatCode>General</c:formatCode>
                <c:ptCount val="14"/>
                <c:pt idx="1">
                  <c:v>0.40517333333339545</c:v>
                </c:pt>
                <c:pt idx="2">
                  <c:v>1.704000000000172</c:v>
                </c:pt>
                <c:pt idx="3">
                  <c:v>1.0945833333333332</c:v>
                </c:pt>
                <c:pt idx="4">
                  <c:v>0.79046666666670107</c:v>
                </c:pt>
                <c:pt idx="5">
                  <c:v>2.3240666666665977</c:v>
                </c:pt>
                <c:pt idx="6">
                  <c:v>2.3252500000001723</c:v>
                </c:pt>
                <c:pt idx="7">
                  <c:v>1.4491282051282448</c:v>
                </c:pt>
                <c:pt idx="8">
                  <c:v>2.6240416666666877</c:v>
                </c:pt>
                <c:pt idx="9">
                  <c:v>2.7006296296296486</c:v>
                </c:pt>
                <c:pt idx="10">
                  <c:v>3.7669444444445879</c:v>
                </c:pt>
                <c:pt idx="11">
                  <c:v>2.9908749999999569</c:v>
                </c:pt>
                <c:pt idx="12">
                  <c:v>3.9049999999999998</c:v>
                </c:pt>
                <c:pt idx="13">
                  <c:v>3.313333333333333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49D-4039-95F4-55F6D1060B3D}"/>
            </c:ext>
          </c:extLst>
        </c:ser>
        <c:ser>
          <c:idx val="1"/>
          <c:order val="1"/>
          <c:tx>
            <c:strRef>
              <c:f>'LG thermaV 9 kW'!$P$4</c:f>
              <c:strCache>
                <c:ptCount val="1"/>
                <c:pt idx="0">
                  <c:v>kW kalor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kW'!$P$5:$P$18</c:f>
              <c:numCache>
                <c:formatCode>General</c:formatCode>
                <c:ptCount val="14"/>
                <c:pt idx="1">
                  <c:v>0.48657407407407494</c:v>
                </c:pt>
                <c:pt idx="2">
                  <c:v>1.6936728395061456</c:v>
                </c:pt>
                <c:pt idx="3">
                  <c:v>1.6666666666666885</c:v>
                </c:pt>
                <c:pt idx="4">
                  <c:v>1.2962962962962685</c:v>
                </c:pt>
                <c:pt idx="5">
                  <c:v>2.043981481481504</c:v>
                </c:pt>
                <c:pt idx="6">
                  <c:v>2.8096064814814508</c:v>
                </c:pt>
                <c:pt idx="7">
                  <c:v>1.4191595441595515</c:v>
                </c:pt>
                <c:pt idx="8">
                  <c:v>2.3278356481481404</c:v>
                </c:pt>
                <c:pt idx="9">
                  <c:v>2.9115226337448683</c:v>
                </c:pt>
                <c:pt idx="10">
                  <c:v>3.6053240740740731</c:v>
                </c:pt>
                <c:pt idx="11">
                  <c:v>3.0215567129629672</c:v>
                </c:pt>
                <c:pt idx="12">
                  <c:v>4.0847578347578297</c:v>
                </c:pt>
                <c:pt idx="13">
                  <c:v>3.3837632275132186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49D-4039-95F4-55F6D1060B3D}"/>
            </c:ext>
          </c:extLst>
        </c:ser>
        <c:ser>
          <c:idx val="2"/>
          <c:order val="2"/>
          <c:tx>
            <c:strRef>
              <c:f>'LG thermaV 9 kW'!$Q$4</c:f>
              <c:strCache>
                <c:ptCount val="1"/>
                <c:pt idx="0">
                  <c:v>kW elektř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kW'!$Q$5:$Q$18</c:f>
              <c:numCache>
                <c:formatCode>General</c:formatCode>
                <c:ptCount val="14"/>
                <c:pt idx="1">
                  <c:v>0.16833333333333333</c:v>
                </c:pt>
                <c:pt idx="2">
                  <c:v>0.65277777777777779</c:v>
                </c:pt>
                <c:pt idx="3">
                  <c:v>0.54166666666666663</c:v>
                </c:pt>
                <c:pt idx="4">
                  <c:v>0.39999999999999997</c:v>
                </c:pt>
                <c:pt idx="5">
                  <c:v>0.71666666666666667</c:v>
                </c:pt>
                <c:pt idx="6">
                  <c:v>0.91666666666666663</c:v>
                </c:pt>
                <c:pt idx="7">
                  <c:v>0.43269230769230771</c:v>
                </c:pt>
                <c:pt idx="8">
                  <c:v>0.88020833333333337</c:v>
                </c:pt>
                <c:pt idx="9">
                  <c:v>0.96296296296296291</c:v>
                </c:pt>
                <c:pt idx="10">
                  <c:v>1.375</c:v>
                </c:pt>
                <c:pt idx="11">
                  <c:v>0.984375</c:v>
                </c:pt>
                <c:pt idx="12">
                  <c:v>1.5865384615384617</c:v>
                </c:pt>
                <c:pt idx="13">
                  <c:v>1.1607142857142858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849D-4039-95F4-55F6D1060B3D}"/>
            </c:ext>
          </c:extLst>
        </c:ser>
        <c:ser>
          <c:idx val="3"/>
          <c:order val="3"/>
          <c:tx>
            <c:strRef>
              <c:f>'LG thermaV 9 kW'!$R$4</c:f>
              <c:strCache>
                <c:ptCount val="1"/>
                <c:pt idx="0">
                  <c:v>COP</c:v>
                </c:pt>
              </c:strCache>
            </c:strRef>
          </c:tx>
          <c:xVal>
            <c:numRef>
              <c:f>'LG thermaV 9 kW'!$A$5:$A$18</c:f>
              <c:numCache>
                <c:formatCode>dd/mmm</c:formatCode>
                <c:ptCount val="14"/>
                <c:pt idx="0">
                  <c:v>43702</c:v>
                </c:pt>
                <c:pt idx="1">
                  <c:v>43727</c:v>
                </c:pt>
                <c:pt idx="2">
                  <c:v>43730</c:v>
                </c:pt>
                <c:pt idx="3">
                  <c:v>43734</c:v>
                </c:pt>
                <c:pt idx="4">
                  <c:v>43739</c:v>
                </c:pt>
                <c:pt idx="5">
                  <c:v>43744</c:v>
                </c:pt>
                <c:pt idx="6">
                  <c:v>43748</c:v>
                </c:pt>
                <c:pt idx="7">
                  <c:v>43761</c:v>
                </c:pt>
                <c:pt idx="8">
                  <c:v>43769</c:v>
                </c:pt>
                <c:pt idx="9">
                  <c:v>43778</c:v>
                </c:pt>
                <c:pt idx="10">
                  <c:v>43784</c:v>
                </c:pt>
                <c:pt idx="11">
                  <c:v>43800</c:v>
                </c:pt>
                <c:pt idx="12">
                  <c:v>43813</c:v>
                </c:pt>
                <c:pt idx="13">
                  <c:v>43827</c:v>
                </c:pt>
              </c:numCache>
            </c:numRef>
          </c:xVal>
          <c:yVal>
            <c:numRef>
              <c:f>'LG thermaV 9 kW'!$R$5:$R$18</c:f>
              <c:numCache>
                <c:formatCode>General</c:formatCode>
                <c:ptCount val="14"/>
                <c:pt idx="1">
                  <c:v>2.8905390539053957</c:v>
                </c:pt>
                <c:pt idx="2">
                  <c:v>2.5945626477540951</c:v>
                </c:pt>
                <c:pt idx="3">
                  <c:v>3.0769230769231175</c:v>
                </c:pt>
                <c:pt idx="4">
                  <c:v>3.2407407407406716</c:v>
                </c:pt>
                <c:pt idx="5">
                  <c:v>2.8520671834625637</c:v>
                </c:pt>
                <c:pt idx="6">
                  <c:v>3.0650252525252193</c:v>
                </c:pt>
                <c:pt idx="7">
                  <c:v>3.279835390946519</c:v>
                </c:pt>
                <c:pt idx="8">
                  <c:v>2.6446416831032127</c:v>
                </c:pt>
                <c:pt idx="9">
                  <c:v>3.0235042735042863</c:v>
                </c:pt>
                <c:pt idx="10">
                  <c:v>2.6220538720538715</c:v>
                </c:pt>
                <c:pt idx="11">
                  <c:v>3.0695179306290461</c:v>
                </c:pt>
                <c:pt idx="12">
                  <c:v>2.5746352413019045</c:v>
                </c:pt>
                <c:pt idx="13">
                  <c:v>2.9152421652421574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849D-4039-95F4-55F6D1060B3D}"/>
            </c:ext>
          </c:extLst>
        </c:ser>
        <c:axId val="147127680"/>
        <c:axId val="147137664"/>
      </c:scatterChart>
      <c:valAx>
        <c:axId val="147127680"/>
        <c:scaling>
          <c:orientation val="minMax"/>
          <c:min val="43709"/>
        </c:scaling>
        <c:axPos val="b"/>
        <c:majorGridlines/>
        <c:minorGridlines/>
        <c:numFmt formatCode="dd/mmm" sourceLinked="1"/>
        <c:tickLblPos val="nextTo"/>
        <c:crossAx val="147137664"/>
        <c:crosses val="autoZero"/>
        <c:crossBetween val="midCat"/>
        <c:majorUnit val="30.5"/>
        <c:minorUnit val="7.6249999999999645"/>
      </c:valAx>
      <c:valAx>
        <c:axId val="147137664"/>
        <c:scaling>
          <c:orientation val="minMax"/>
        </c:scaling>
        <c:axPos val="l"/>
        <c:majorGridlines/>
        <c:numFmt formatCode="General" sourceLinked="1"/>
        <c:tickLblPos val="nextTo"/>
        <c:crossAx val="14712768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'SCOP-norma'!$Q$7</c:f>
              <c:strCache>
                <c:ptCount val="1"/>
                <c:pt idx="0">
                  <c:v>20/21 280 m.n.m.</c:v>
                </c:pt>
              </c:strCache>
            </c:strRef>
          </c:tx>
          <c:marker>
            <c:symbol val="none"/>
          </c:marker>
          <c:xVal>
            <c:numRef>
              <c:f>'SCOP-norma'!$A$8:$A$33</c:f>
              <c:numCache>
                <c:formatCode>General</c:formatCode>
                <c:ptCount val="26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</c:numCache>
            </c:numRef>
          </c:xVal>
          <c:yVal>
            <c:numRef>
              <c:f>'SCOP-norma'!$Q$8:$Q$33</c:f>
              <c:numCache>
                <c:formatCode>General</c:formatCode>
                <c:ptCount val="26"/>
                <c:pt idx="0">
                  <c:v>24</c:v>
                </c:pt>
                <c:pt idx="1">
                  <c:v>24</c:v>
                </c:pt>
                <c:pt idx="2">
                  <c:v>48</c:v>
                </c:pt>
                <c:pt idx="3">
                  <c:v>96</c:v>
                </c:pt>
                <c:pt idx="4">
                  <c:v>120</c:v>
                </c:pt>
                <c:pt idx="5">
                  <c:v>192</c:v>
                </c:pt>
                <c:pt idx="6">
                  <c:v>192</c:v>
                </c:pt>
                <c:pt idx="7">
                  <c:v>240</c:v>
                </c:pt>
                <c:pt idx="8">
                  <c:v>288</c:v>
                </c:pt>
                <c:pt idx="9">
                  <c:v>360</c:v>
                </c:pt>
                <c:pt idx="10">
                  <c:v>480</c:v>
                </c:pt>
                <c:pt idx="11">
                  <c:v>696</c:v>
                </c:pt>
                <c:pt idx="12">
                  <c:v>1128</c:v>
                </c:pt>
                <c:pt idx="13">
                  <c:v>1536</c:v>
                </c:pt>
                <c:pt idx="14">
                  <c:v>2040</c:v>
                </c:pt>
                <c:pt idx="15">
                  <c:v>2424</c:v>
                </c:pt>
                <c:pt idx="16">
                  <c:v>2880</c:v>
                </c:pt>
                <c:pt idx="17">
                  <c:v>3240</c:v>
                </c:pt>
                <c:pt idx="18">
                  <c:v>3384</c:v>
                </c:pt>
                <c:pt idx="19">
                  <c:v>3864</c:v>
                </c:pt>
                <c:pt idx="20">
                  <c:v>4272</c:v>
                </c:pt>
                <c:pt idx="21">
                  <c:v>4488</c:v>
                </c:pt>
                <c:pt idx="22">
                  <c:v>4776</c:v>
                </c:pt>
                <c:pt idx="23">
                  <c:v>5064</c:v>
                </c:pt>
                <c:pt idx="24">
                  <c:v>5424</c:v>
                </c:pt>
                <c:pt idx="25">
                  <c:v>5784</c:v>
                </c:pt>
              </c:numCache>
            </c:numRef>
          </c:yVal>
        </c:ser>
        <c:ser>
          <c:idx val="1"/>
          <c:order val="1"/>
          <c:tx>
            <c:strRef>
              <c:f>'SCOP-norma'!$R$7</c:f>
              <c:strCache>
                <c:ptCount val="1"/>
                <c:pt idx="0">
                  <c:v>norma</c:v>
                </c:pt>
              </c:strCache>
            </c:strRef>
          </c:tx>
          <c:marker>
            <c:symbol val="none"/>
          </c:marker>
          <c:xVal>
            <c:numRef>
              <c:f>'SCOP-norma'!$A$8:$A$33</c:f>
              <c:numCache>
                <c:formatCode>General</c:formatCode>
                <c:ptCount val="26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</c:numCache>
            </c:numRef>
          </c:xVal>
          <c:yVal>
            <c:numRef>
              <c:f>'SCOP-norma'!$R$8:$R$33</c:f>
              <c:numCache>
                <c:formatCode>General</c:formatCode>
                <c:ptCount val="26"/>
                <c:pt idx="0">
                  <c:v>1</c:v>
                </c:pt>
                <c:pt idx="1">
                  <c:v>26</c:v>
                </c:pt>
                <c:pt idx="2">
                  <c:v>49</c:v>
                </c:pt>
                <c:pt idx="3">
                  <c:v>73</c:v>
                </c:pt>
                <c:pt idx="4">
                  <c:v>100</c:v>
                </c:pt>
                <c:pt idx="5">
                  <c:v>168</c:v>
                </c:pt>
                <c:pt idx="6">
                  <c:v>259</c:v>
                </c:pt>
                <c:pt idx="7">
                  <c:v>348</c:v>
                </c:pt>
                <c:pt idx="8">
                  <c:v>513</c:v>
                </c:pt>
                <c:pt idx="9">
                  <c:v>686</c:v>
                </c:pt>
                <c:pt idx="10">
                  <c:v>926</c:v>
                </c:pt>
                <c:pt idx="11">
                  <c:v>1206</c:v>
                </c:pt>
                <c:pt idx="12">
                  <c:v>1526</c:v>
                </c:pt>
                <c:pt idx="13">
                  <c:v>1883</c:v>
                </c:pt>
                <c:pt idx="14">
                  <c:v>2239</c:v>
                </c:pt>
                <c:pt idx="15">
                  <c:v>2542</c:v>
                </c:pt>
                <c:pt idx="16">
                  <c:v>2872</c:v>
                </c:pt>
                <c:pt idx="17">
                  <c:v>3198</c:v>
                </c:pt>
                <c:pt idx="18">
                  <c:v>3546</c:v>
                </c:pt>
                <c:pt idx="19">
                  <c:v>3881</c:v>
                </c:pt>
                <c:pt idx="20">
                  <c:v>4196</c:v>
                </c:pt>
                <c:pt idx="21">
                  <c:v>4411</c:v>
                </c:pt>
                <c:pt idx="22">
                  <c:v>4580</c:v>
                </c:pt>
                <c:pt idx="23">
                  <c:v>4731</c:v>
                </c:pt>
                <c:pt idx="24">
                  <c:v>4836</c:v>
                </c:pt>
                <c:pt idx="25">
                  <c:v>4910</c:v>
                </c:pt>
              </c:numCache>
            </c:numRef>
          </c:yVal>
        </c:ser>
        <c:axId val="116496256"/>
        <c:axId val="116497792"/>
      </c:scatterChart>
      <c:valAx>
        <c:axId val="116496256"/>
        <c:scaling>
          <c:orientation val="minMax"/>
        </c:scaling>
        <c:axPos val="b"/>
        <c:numFmt formatCode="General" sourceLinked="1"/>
        <c:tickLblPos val="nextTo"/>
        <c:crossAx val="116497792"/>
        <c:crosses val="autoZero"/>
        <c:crossBetween val="midCat"/>
      </c:valAx>
      <c:valAx>
        <c:axId val="116497792"/>
        <c:scaling>
          <c:orientation val="minMax"/>
        </c:scaling>
        <c:axPos val="l"/>
        <c:majorGridlines/>
        <c:numFmt formatCode="General" sourceLinked="1"/>
        <c:tickLblPos val="nextTo"/>
        <c:crossAx val="1164962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'SCOP-norma'!$L$8:$L$33</c:f>
              <c:numCache>
                <c:formatCode>General</c:formatCode>
                <c:ptCount val="26"/>
                <c:pt idx="0">
                  <c:v>2.0000000000002238E-3</c:v>
                </c:pt>
                <c:pt idx="1">
                  <c:v>-3.3590733590731503E-3</c:v>
                </c:pt>
                <c:pt idx="2">
                  <c:v>-4.3283582089552741E-3</c:v>
                </c:pt>
                <c:pt idx="3">
                  <c:v>5.2173913043478404E-3</c:v>
                </c:pt>
                <c:pt idx="4">
                  <c:v>1.4035087719298511E-3</c:v>
                </c:pt>
                <c:pt idx="5">
                  <c:v>8.8435374149677115E-4</c:v>
                </c:pt>
                <c:pt idx="6">
                  <c:v>4.8172757475088979E-3</c:v>
                </c:pt>
                <c:pt idx="7">
                  <c:v>3.3766233766230336E-3</c:v>
                </c:pt>
                <c:pt idx="8">
                  <c:v>3.8216560509551911E-3</c:v>
                </c:pt>
                <c:pt idx="9">
                  <c:v>3.749999999999698E-3</c:v>
                </c:pt>
                <c:pt idx="10">
                  <c:v>-3.4969325153371145E-3</c:v>
                </c:pt>
                <c:pt idx="11">
                  <c:v>3.2024169184288187E-3</c:v>
                </c:pt>
                <c:pt idx="12">
                  <c:v>-4.029850746268826E-3</c:v>
                </c:pt>
                <c:pt idx="13">
                  <c:v>4.9262536873155849E-3</c:v>
                </c:pt>
                <c:pt idx="14">
                  <c:v>8.7719298245603206E-4</c:v>
                </c:pt>
                <c:pt idx="15">
                  <c:v>-3.4883720930212192E-4</c:v>
                </c:pt>
                <c:pt idx="16">
                  <c:v>-8.1395348837220993E-4</c:v>
                </c:pt>
                <c:pt idx="17">
                  <c:v>-1.2536443148689624E-3</c:v>
                </c:pt>
                <c:pt idx="18">
                  <c:v>5.8823529411764497E-3</c:v>
                </c:pt>
                <c:pt idx="19">
                  <c:v>2.9850746268655914E-3</c:v>
                </c:pt>
                <c:pt idx="20">
                  <c:v>-1.4110429447852235E-3</c:v>
                </c:pt>
                <c:pt idx="21">
                  <c:v>-4.6153846153846878E-3</c:v>
                </c:pt>
                <c:pt idx="22">
                  <c:v>-7.9037800687287163E-4</c:v>
                </c:pt>
                <c:pt idx="23">
                  <c:v>2.3076923076922329E-3</c:v>
                </c:pt>
                <c:pt idx="24">
                  <c:v>3.2075471698113089E-3</c:v>
                </c:pt>
                <c:pt idx="25">
                  <c:v>1.481481481481417E-3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'SCOP-norma'!$M$8:$M$33</c:f>
              <c:numCache>
                <c:formatCode>General</c:formatCode>
                <c:ptCount val="26"/>
                <c:pt idx="0">
                  <c:v>0</c:v>
                </c:pt>
                <c:pt idx="1">
                  <c:v>9.9999999999993427E-3</c:v>
                </c:pt>
                <c:pt idx="2">
                  <c:v>0</c:v>
                </c:pt>
                <c:pt idx="3">
                  <c:v>1.0000000000000009E-2</c:v>
                </c:pt>
                <c:pt idx="4">
                  <c:v>0</c:v>
                </c:pt>
                <c:pt idx="5">
                  <c:v>3.1918911957973251E-16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'SCOP-norma'!$N$8:$N$33</c:f>
              <c:numCache>
                <c:formatCode>General</c:formatCode>
                <c:ptCount val="26"/>
                <c:pt idx="0">
                  <c:v>-0.49000000000000021</c:v>
                </c:pt>
                <c:pt idx="1">
                  <c:v>0</c:v>
                </c:pt>
                <c:pt idx="2">
                  <c:v>-0.34000000000000341</c:v>
                </c:pt>
                <c:pt idx="3">
                  <c:v>0.12000000000000455</c:v>
                </c:pt>
                <c:pt idx="4">
                  <c:v>0.45000000000000284</c:v>
                </c:pt>
                <c:pt idx="5">
                  <c:v>-0.24000000000000909</c:v>
                </c:pt>
                <c:pt idx="6">
                  <c:v>4.9999999999982947E-2</c:v>
                </c:pt>
                <c:pt idx="7">
                  <c:v>-6.9999999999993179E-2</c:v>
                </c:pt>
                <c:pt idx="8">
                  <c:v>0</c:v>
                </c:pt>
                <c:pt idx="9">
                  <c:v>-7.9999999999984084E-2</c:v>
                </c:pt>
                <c:pt idx="10">
                  <c:v>0.59999999999996589</c:v>
                </c:pt>
                <c:pt idx="11">
                  <c:v>-0.80000000000001137</c:v>
                </c:pt>
                <c:pt idx="12">
                  <c:v>1.2000000000000455</c:v>
                </c:pt>
                <c:pt idx="13">
                  <c:v>-2.2100000000000364</c:v>
                </c:pt>
                <c:pt idx="14">
                  <c:v>-0.39999999999997726</c:v>
                </c:pt>
                <c:pt idx="15">
                  <c:v>-0.31000000000000227</c:v>
                </c:pt>
                <c:pt idx="16">
                  <c:v>0.60000000000002274</c:v>
                </c:pt>
                <c:pt idx="17">
                  <c:v>0.25999999999999091</c:v>
                </c:pt>
                <c:pt idx="18">
                  <c:v>-1.8000000000000114</c:v>
                </c:pt>
                <c:pt idx="19">
                  <c:v>-1</c:v>
                </c:pt>
                <c:pt idx="20">
                  <c:v>0.64999999999997726</c:v>
                </c:pt>
                <c:pt idx="21">
                  <c:v>0.30000000000001137</c:v>
                </c:pt>
                <c:pt idx="22">
                  <c:v>0.57000000000000739</c:v>
                </c:pt>
                <c:pt idx="23">
                  <c:v>-0.56000000000000227</c:v>
                </c:pt>
                <c:pt idx="24">
                  <c:v>-0.20000000000000284</c:v>
                </c:pt>
                <c:pt idx="25">
                  <c:v>-0.27999999999999758</c:v>
                </c:pt>
              </c:numCache>
            </c:numRef>
          </c:val>
        </c:ser>
        <c:marker val="1"/>
        <c:axId val="117924224"/>
        <c:axId val="117925760"/>
      </c:lineChart>
      <c:catAx>
        <c:axId val="117924224"/>
        <c:scaling>
          <c:orientation val="minMax"/>
        </c:scaling>
        <c:axPos val="b"/>
        <c:tickLblPos val="nextTo"/>
        <c:crossAx val="117925760"/>
        <c:crosses val="autoZero"/>
        <c:auto val="1"/>
        <c:lblAlgn val="ctr"/>
        <c:lblOffset val="100"/>
      </c:catAx>
      <c:valAx>
        <c:axId val="117925760"/>
        <c:scaling>
          <c:orientation val="minMax"/>
        </c:scaling>
        <c:axPos val="l"/>
        <c:majorGridlines/>
        <c:numFmt formatCode="General" sourceLinked="1"/>
        <c:tickLblPos val="nextTo"/>
        <c:crossAx val="1179242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Stanovení směrnice COP /  Ax/W35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'SCOP-norma'!$G$7</c:f>
              <c:strCache>
                <c:ptCount val="1"/>
                <c:pt idx="0">
                  <c:v>[–]</c:v>
                </c:pt>
              </c:strCache>
            </c:strRef>
          </c:tx>
          <c:marker>
            <c:symbol val="none"/>
          </c:marker>
          <c:xVal>
            <c:numRef>
              <c:f>'SCOP-norma'!$A$8:$A$37</c:f>
              <c:numCache>
                <c:formatCode>General</c:formatCode>
                <c:ptCount val="30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8">
                  <c:v>10</c:v>
                </c:pt>
                <c:pt idx="29">
                  <c:v>0</c:v>
                </c:pt>
              </c:numCache>
            </c:numRef>
          </c:xVal>
          <c:yVal>
            <c:numRef>
              <c:f>'SCOP-norma'!$G$8:$G$37</c:f>
              <c:numCache>
                <c:formatCode>General</c:formatCode>
                <c:ptCount val="30"/>
                <c:pt idx="0">
                  <c:v>2.5</c:v>
                </c:pt>
                <c:pt idx="1">
                  <c:v>2.59</c:v>
                </c:pt>
                <c:pt idx="2">
                  <c:v>2.68</c:v>
                </c:pt>
                <c:pt idx="3">
                  <c:v>2.76</c:v>
                </c:pt>
                <c:pt idx="4">
                  <c:v>2.85</c:v>
                </c:pt>
                <c:pt idx="5">
                  <c:v>2.94</c:v>
                </c:pt>
                <c:pt idx="6">
                  <c:v>3.03</c:v>
                </c:pt>
                <c:pt idx="7">
                  <c:v>3.12</c:v>
                </c:pt>
                <c:pt idx="8">
                  <c:v>3.2</c:v>
                </c:pt>
                <c:pt idx="9">
                  <c:v>3.29</c:v>
                </c:pt>
                <c:pt idx="10">
                  <c:v>3.38</c:v>
                </c:pt>
                <c:pt idx="11">
                  <c:v>3.47</c:v>
                </c:pt>
                <c:pt idx="12">
                  <c:v>3.56</c:v>
                </c:pt>
                <c:pt idx="13">
                  <c:v>3.64</c:v>
                </c:pt>
                <c:pt idx="14">
                  <c:v>3.73</c:v>
                </c:pt>
                <c:pt idx="15">
                  <c:v>3.82</c:v>
                </c:pt>
                <c:pt idx="16">
                  <c:v>3.91</c:v>
                </c:pt>
                <c:pt idx="17">
                  <c:v>4</c:v>
                </c:pt>
                <c:pt idx="18">
                  <c:v>4.08</c:v>
                </c:pt>
                <c:pt idx="19">
                  <c:v>4.17</c:v>
                </c:pt>
                <c:pt idx="20">
                  <c:v>4.26</c:v>
                </c:pt>
                <c:pt idx="21">
                  <c:v>4.3499999999999996</c:v>
                </c:pt>
                <c:pt idx="22">
                  <c:v>4.4400000000000004</c:v>
                </c:pt>
                <c:pt idx="23">
                  <c:v>4.5199999999999996</c:v>
                </c:pt>
                <c:pt idx="24">
                  <c:v>4.6100000000000003</c:v>
                </c:pt>
                <c:pt idx="25">
                  <c:v>4.7</c:v>
                </c:pt>
              </c:numCache>
            </c:numRef>
          </c:yVal>
        </c:ser>
        <c:ser>
          <c:idx val="1"/>
          <c:order val="1"/>
          <c:tx>
            <c:strRef>
              <c:f>'SCOP-norma'!$H$7</c:f>
              <c:strCache>
                <c:ptCount val="1"/>
                <c:pt idx="0">
                  <c:v>[–]</c:v>
                </c:pt>
              </c:strCache>
            </c:strRef>
          </c:tx>
          <c:marker>
            <c:symbol val="none"/>
          </c:marker>
          <c:xVal>
            <c:numRef>
              <c:f>'SCOP-norma'!$A$8:$A$37</c:f>
              <c:numCache>
                <c:formatCode>General</c:formatCode>
                <c:ptCount val="30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  <c:pt idx="28">
                  <c:v>10</c:v>
                </c:pt>
                <c:pt idx="29">
                  <c:v>0</c:v>
                </c:pt>
              </c:numCache>
            </c:numRef>
          </c:xVal>
          <c:yVal>
            <c:numRef>
              <c:f>'SCOP-norma'!$H$8:$H$37</c:f>
              <c:numCache>
                <c:formatCode>General</c:formatCode>
                <c:ptCount val="30"/>
                <c:pt idx="0">
                  <c:v>2.5</c:v>
                </c:pt>
                <c:pt idx="1">
                  <c:v>2.59</c:v>
                </c:pt>
                <c:pt idx="2">
                  <c:v>2.68</c:v>
                </c:pt>
                <c:pt idx="3">
                  <c:v>2.76</c:v>
                </c:pt>
                <c:pt idx="4">
                  <c:v>2.85</c:v>
                </c:pt>
                <c:pt idx="5">
                  <c:v>2.94</c:v>
                </c:pt>
                <c:pt idx="6">
                  <c:v>3.01</c:v>
                </c:pt>
                <c:pt idx="7">
                  <c:v>3.08</c:v>
                </c:pt>
                <c:pt idx="8">
                  <c:v>3.14</c:v>
                </c:pt>
                <c:pt idx="9">
                  <c:v>3.2</c:v>
                </c:pt>
                <c:pt idx="10">
                  <c:v>3.26</c:v>
                </c:pt>
                <c:pt idx="11">
                  <c:v>3.31</c:v>
                </c:pt>
                <c:pt idx="12">
                  <c:v>3.35</c:v>
                </c:pt>
                <c:pt idx="13">
                  <c:v>3.39</c:v>
                </c:pt>
                <c:pt idx="14">
                  <c:v>3.42</c:v>
                </c:pt>
                <c:pt idx="15">
                  <c:v>3.44</c:v>
                </c:pt>
                <c:pt idx="16">
                  <c:v>3.44</c:v>
                </c:pt>
                <c:pt idx="17">
                  <c:v>3.43</c:v>
                </c:pt>
                <c:pt idx="18">
                  <c:v>3.4</c:v>
                </c:pt>
                <c:pt idx="19">
                  <c:v>3.35</c:v>
                </c:pt>
                <c:pt idx="20">
                  <c:v>3.26</c:v>
                </c:pt>
                <c:pt idx="21">
                  <c:v>3.12</c:v>
                </c:pt>
                <c:pt idx="22">
                  <c:v>2.91</c:v>
                </c:pt>
                <c:pt idx="23">
                  <c:v>2.6</c:v>
                </c:pt>
                <c:pt idx="24">
                  <c:v>2.12</c:v>
                </c:pt>
                <c:pt idx="25">
                  <c:v>1.35</c:v>
                </c:pt>
                <c:pt idx="28">
                  <c:v>4.3</c:v>
                </c:pt>
                <c:pt idx="29">
                  <c:v>3.4</c:v>
                </c:pt>
              </c:numCache>
            </c:numRef>
          </c:yVal>
        </c:ser>
        <c:axId val="116926336"/>
        <c:axId val="116927872"/>
      </c:scatterChart>
      <c:valAx>
        <c:axId val="116926336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16927872"/>
        <c:crosses val="autoZero"/>
        <c:crossBetween val="midCat"/>
      </c:valAx>
      <c:valAx>
        <c:axId val="116927872"/>
        <c:scaling>
          <c:orientation val="minMax"/>
        </c:scaling>
        <c:axPos val="l"/>
        <c:majorGridlines/>
        <c:numFmt formatCode="General" sourceLinked="1"/>
        <c:tickLblPos val="nextTo"/>
        <c:crossAx val="11692633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ekvitermní křivka  kW/venk.teplota </a:t>
            </a:r>
          </a:p>
          <a:p>
            <a:pPr>
              <a:defRPr/>
            </a:pPr>
            <a:r>
              <a:rPr lang="cs-CZ" sz="1000" baseline="0"/>
              <a:t>pata ekvitermu 15°C U=480 W/K</a:t>
            </a:r>
          </a:p>
        </c:rich>
      </c:tx>
      <c:layout>
        <c:manualLayout>
          <c:xMode val="edge"/>
          <c:yMode val="edge"/>
          <c:x val="0.20755298651252499"/>
          <c:y val="1.3986013986013989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'SCOP-norma'!$C$7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'SCOP-norma'!$A$8:$A$33</c:f>
              <c:numCache>
                <c:formatCode>General</c:formatCode>
                <c:ptCount val="26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</c:numCache>
            </c:numRef>
          </c:xVal>
          <c:yVal>
            <c:numRef>
              <c:f>'SCOP-norma'!$C$8:$C$33</c:f>
              <c:numCache>
                <c:formatCode>General</c:formatCode>
                <c:ptCount val="26"/>
                <c:pt idx="0">
                  <c:v>10</c:v>
                </c:pt>
                <c:pt idx="1">
                  <c:v>9.6199999999999992</c:v>
                </c:pt>
                <c:pt idx="2">
                  <c:v>9.23</c:v>
                </c:pt>
                <c:pt idx="3">
                  <c:v>8.85</c:v>
                </c:pt>
                <c:pt idx="4">
                  <c:v>8.4600000000000009</c:v>
                </c:pt>
                <c:pt idx="5">
                  <c:v>8.08</c:v>
                </c:pt>
                <c:pt idx="6">
                  <c:v>7.69</c:v>
                </c:pt>
                <c:pt idx="7">
                  <c:v>7.31</c:v>
                </c:pt>
                <c:pt idx="8">
                  <c:v>6.92</c:v>
                </c:pt>
                <c:pt idx="9">
                  <c:v>6.54</c:v>
                </c:pt>
                <c:pt idx="10">
                  <c:v>6.15</c:v>
                </c:pt>
                <c:pt idx="11">
                  <c:v>5.77</c:v>
                </c:pt>
                <c:pt idx="12">
                  <c:v>5.38</c:v>
                </c:pt>
                <c:pt idx="13">
                  <c:v>5</c:v>
                </c:pt>
                <c:pt idx="14">
                  <c:v>4.62</c:v>
                </c:pt>
                <c:pt idx="15">
                  <c:v>4.2300000000000004</c:v>
                </c:pt>
                <c:pt idx="16">
                  <c:v>3.85</c:v>
                </c:pt>
                <c:pt idx="17">
                  <c:v>3.46</c:v>
                </c:pt>
                <c:pt idx="18">
                  <c:v>3.08</c:v>
                </c:pt>
                <c:pt idx="19">
                  <c:v>2.69</c:v>
                </c:pt>
                <c:pt idx="20">
                  <c:v>2.31</c:v>
                </c:pt>
                <c:pt idx="21">
                  <c:v>1.92</c:v>
                </c:pt>
                <c:pt idx="22">
                  <c:v>1.54</c:v>
                </c:pt>
                <c:pt idx="23">
                  <c:v>1.1499999999999999</c:v>
                </c:pt>
                <c:pt idx="24">
                  <c:v>0.77</c:v>
                </c:pt>
                <c:pt idx="25">
                  <c:v>0.38</c:v>
                </c:pt>
              </c:numCache>
            </c:numRef>
          </c:yVal>
        </c:ser>
        <c:axId val="116940160"/>
        <c:axId val="116950144"/>
      </c:scatterChart>
      <c:valAx>
        <c:axId val="116940160"/>
        <c:scaling>
          <c:orientation val="minMax"/>
        </c:scaling>
        <c:axPos val="b"/>
        <c:numFmt formatCode="General" sourceLinked="1"/>
        <c:tickLblPos val="nextTo"/>
        <c:crossAx val="116950144"/>
        <c:crosses val="autoZero"/>
        <c:crossBetween val="midCat"/>
      </c:valAx>
      <c:valAx>
        <c:axId val="116950144"/>
        <c:scaling>
          <c:orientation val="minMax"/>
        </c:scaling>
        <c:axPos val="l"/>
        <c:majorGridlines/>
        <c:numFmt formatCode="General" sourceLinked="1"/>
        <c:tickLblPos val="nextTo"/>
        <c:crossAx val="116940160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příkon kompresoru (kW) / venk teplota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strRef>
              <c:f>'SCOP-norma'!$U$7</c:f>
              <c:strCache>
                <c:ptCount val="1"/>
                <c:pt idx="0">
                  <c:v>příkon kompresoru kW:</c:v>
                </c:pt>
              </c:strCache>
            </c:strRef>
          </c:tx>
          <c:marker>
            <c:symbol val="none"/>
          </c:marker>
          <c:xVal>
            <c:numRef>
              <c:f>'SCOP-norma'!$A$8:$A$33</c:f>
              <c:numCache>
                <c:formatCode>General</c:formatCode>
                <c:ptCount val="26"/>
                <c:pt idx="0">
                  <c:v>-10</c:v>
                </c:pt>
                <c:pt idx="1">
                  <c:v>-9</c:v>
                </c:pt>
                <c:pt idx="2">
                  <c:v>-8</c:v>
                </c:pt>
                <c:pt idx="3">
                  <c:v>-7</c:v>
                </c:pt>
                <c:pt idx="4">
                  <c:v>-6</c:v>
                </c:pt>
                <c:pt idx="5">
                  <c:v>-5</c:v>
                </c:pt>
                <c:pt idx="6">
                  <c:v>-4</c:v>
                </c:pt>
                <c:pt idx="7">
                  <c:v>-3</c:v>
                </c:pt>
                <c:pt idx="8">
                  <c:v>-2</c:v>
                </c:pt>
                <c:pt idx="9">
                  <c:v>-1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9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  <c:pt idx="24">
                  <c:v>14</c:v>
                </c:pt>
                <c:pt idx="25">
                  <c:v>15</c:v>
                </c:pt>
              </c:numCache>
            </c:numRef>
          </c:xVal>
          <c:yVal>
            <c:numRef>
              <c:f>'SCOP-norma'!$U$8:$U$33</c:f>
              <c:numCache>
                <c:formatCode>General</c:formatCode>
                <c:ptCount val="26"/>
                <c:pt idx="0">
                  <c:v>2.992</c:v>
                </c:pt>
                <c:pt idx="1">
                  <c:v>2.926640926640927</c:v>
                </c:pt>
                <c:pt idx="2">
                  <c:v>2.8656716417910446</c:v>
                </c:pt>
                <c:pt idx="3">
                  <c:v>2.8152173913043477</c:v>
                </c:pt>
                <c:pt idx="4">
                  <c:v>2.76140350877193</c:v>
                </c:pt>
                <c:pt idx="5">
                  <c:v>2.7108843537414966</c:v>
                </c:pt>
                <c:pt idx="6">
                  <c:v>2.6600660066006605</c:v>
                </c:pt>
                <c:pt idx="7">
                  <c:v>2.6153846153846154</c:v>
                </c:pt>
                <c:pt idx="8">
                  <c:v>2.5812499999999998</c:v>
                </c:pt>
                <c:pt idx="9">
                  <c:v>2.5379939209726441</c:v>
                </c:pt>
                <c:pt idx="10">
                  <c:v>2.5</c:v>
                </c:pt>
                <c:pt idx="11">
                  <c:v>2.4639769452449567</c:v>
                </c:pt>
                <c:pt idx="12">
                  <c:v>2.4297752808988764</c:v>
                </c:pt>
                <c:pt idx="13">
                  <c:v>2.401098901098901</c:v>
                </c:pt>
                <c:pt idx="14">
                  <c:v>2.3699731903485253</c:v>
                </c:pt>
                <c:pt idx="15">
                  <c:v>2.3403141361256545</c:v>
                </c:pt>
                <c:pt idx="16">
                  <c:v>2.3094629156010229</c:v>
                </c:pt>
                <c:pt idx="17">
                  <c:v>2.2825000000000002</c:v>
                </c:pt>
                <c:pt idx="18">
                  <c:v>2.2622549019607843</c:v>
                </c:pt>
                <c:pt idx="19">
                  <c:v>2.2350119904076742</c:v>
                </c:pt>
                <c:pt idx="20">
                  <c:v>2.211267605633803</c:v>
                </c:pt>
                <c:pt idx="21">
                  <c:v>2.1885057471264369</c:v>
                </c:pt>
                <c:pt idx="22">
                  <c:v>2.1644144144144142</c:v>
                </c:pt>
                <c:pt idx="23">
                  <c:v>2.1482300884955756</c:v>
                </c:pt>
                <c:pt idx="24">
                  <c:v>2.1279826464208242</c:v>
                </c:pt>
                <c:pt idx="25">
                  <c:v>2.1063829787234041</c:v>
                </c:pt>
              </c:numCache>
            </c:numRef>
          </c:yVal>
        </c:ser>
        <c:axId val="118161792"/>
        <c:axId val="118163328"/>
      </c:scatterChart>
      <c:valAx>
        <c:axId val="118161792"/>
        <c:scaling>
          <c:orientation val="minMax"/>
        </c:scaling>
        <c:axPos val="b"/>
        <c:numFmt formatCode="General" sourceLinked="1"/>
        <c:tickLblPos val="nextTo"/>
        <c:crossAx val="118163328"/>
        <c:crosses val="autoZero"/>
        <c:crossBetween val="midCat"/>
      </c:valAx>
      <c:valAx>
        <c:axId val="118163328"/>
        <c:scaling>
          <c:orientation val="minMax"/>
        </c:scaling>
        <c:axPos val="l"/>
        <c:majorGridlines/>
        <c:numFmt formatCode="General" sourceLinked="1"/>
        <c:tickLblPos val="nextTo"/>
        <c:crossAx val="118161792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výkony (kW) modra</a:t>
            </a:r>
            <a:r>
              <a:rPr lang="cs-CZ" baseline="0"/>
              <a:t> z TZ cerv realita</a:t>
            </a:r>
            <a:endParaRPr lang="cs-CZ"/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tx>
            <c:strRef>
              <c:f>simral!$F$6</c:f>
              <c:strCache>
                <c:ptCount val="1"/>
                <c:pt idx="0">
                  <c:v>ekvit kW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simral!$A$7:$A$59</c:f>
              <c:numCache>
                <c:formatCode>dd/mm/yy;@</c:formatCode>
                <c:ptCount val="53"/>
                <c:pt idx="0">
                  <c:v>42916</c:v>
                </c:pt>
                <c:pt idx="1">
                  <c:v>42947</c:v>
                </c:pt>
                <c:pt idx="2">
                  <c:v>42978</c:v>
                </c:pt>
                <c:pt idx="3">
                  <c:v>43008</c:v>
                </c:pt>
                <c:pt idx="4">
                  <c:v>43039</c:v>
                </c:pt>
                <c:pt idx="5">
                  <c:v>43069</c:v>
                </c:pt>
                <c:pt idx="6">
                  <c:v>43100</c:v>
                </c:pt>
                <c:pt idx="7">
                  <c:v>43131</c:v>
                </c:pt>
                <c:pt idx="8">
                  <c:v>43159</c:v>
                </c:pt>
                <c:pt idx="9">
                  <c:v>43190</c:v>
                </c:pt>
                <c:pt idx="10">
                  <c:v>43220</c:v>
                </c:pt>
                <c:pt idx="11">
                  <c:v>43251</c:v>
                </c:pt>
                <c:pt idx="12">
                  <c:v>43281</c:v>
                </c:pt>
                <c:pt idx="13">
                  <c:v>43312</c:v>
                </c:pt>
                <c:pt idx="14">
                  <c:v>43343</c:v>
                </c:pt>
                <c:pt idx="15">
                  <c:v>43373</c:v>
                </c:pt>
                <c:pt idx="16">
                  <c:v>43404</c:v>
                </c:pt>
                <c:pt idx="17">
                  <c:v>43434</c:v>
                </c:pt>
                <c:pt idx="18">
                  <c:v>43465</c:v>
                </c:pt>
                <c:pt idx="19">
                  <c:v>43496</c:v>
                </c:pt>
                <c:pt idx="20">
                  <c:v>43524</c:v>
                </c:pt>
                <c:pt idx="21">
                  <c:v>43555</c:v>
                </c:pt>
                <c:pt idx="22">
                  <c:v>43585</c:v>
                </c:pt>
                <c:pt idx="23">
                  <c:v>43616</c:v>
                </c:pt>
                <c:pt idx="24">
                  <c:v>43646</c:v>
                </c:pt>
                <c:pt idx="25">
                  <c:v>43677</c:v>
                </c:pt>
                <c:pt idx="26">
                  <c:v>43708</c:v>
                </c:pt>
                <c:pt idx="27">
                  <c:v>43738</c:v>
                </c:pt>
                <c:pt idx="28">
                  <c:v>43769</c:v>
                </c:pt>
                <c:pt idx="29">
                  <c:v>43799</c:v>
                </c:pt>
                <c:pt idx="30">
                  <c:v>43830</c:v>
                </c:pt>
                <c:pt idx="31">
                  <c:v>43861</c:v>
                </c:pt>
                <c:pt idx="32">
                  <c:v>43890</c:v>
                </c:pt>
                <c:pt idx="33">
                  <c:v>43921</c:v>
                </c:pt>
                <c:pt idx="34">
                  <c:v>43951</c:v>
                </c:pt>
                <c:pt idx="35">
                  <c:v>43982</c:v>
                </c:pt>
                <c:pt idx="36">
                  <c:v>44012</c:v>
                </c:pt>
                <c:pt idx="37">
                  <c:v>44043</c:v>
                </c:pt>
                <c:pt idx="38">
                  <c:v>44074</c:v>
                </c:pt>
                <c:pt idx="39">
                  <c:v>44104</c:v>
                </c:pt>
                <c:pt idx="40">
                  <c:v>44135</c:v>
                </c:pt>
                <c:pt idx="41">
                  <c:v>44165</c:v>
                </c:pt>
                <c:pt idx="42">
                  <c:v>44196</c:v>
                </c:pt>
                <c:pt idx="43">
                  <c:v>44227</c:v>
                </c:pt>
                <c:pt idx="44">
                  <c:v>44255</c:v>
                </c:pt>
                <c:pt idx="45">
                  <c:v>44286</c:v>
                </c:pt>
                <c:pt idx="46">
                  <c:v>44316</c:v>
                </c:pt>
                <c:pt idx="47">
                  <c:v>44347</c:v>
                </c:pt>
                <c:pt idx="48">
                  <c:v>44377</c:v>
                </c:pt>
                <c:pt idx="49">
                  <c:v>44408</c:v>
                </c:pt>
                <c:pt idx="50">
                  <c:v>44439</c:v>
                </c:pt>
                <c:pt idx="51">
                  <c:v>44469</c:v>
                </c:pt>
                <c:pt idx="52">
                  <c:v>44500</c:v>
                </c:pt>
              </c:numCache>
            </c:numRef>
          </c:xVal>
          <c:yVal>
            <c:numRef>
              <c:f>simral!$F$7:$F$59</c:f>
              <c:numCache>
                <c:formatCode>General</c:formatCode>
                <c:ptCount val="53"/>
                <c:pt idx="2">
                  <c:v>1.1000000000000001</c:v>
                </c:pt>
                <c:pt idx="3">
                  <c:v>1.2655555555555213</c:v>
                </c:pt>
                <c:pt idx="4">
                  <c:v>1.6317204301075154</c:v>
                </c:pt>
                <c:pt idx="5">
                  <c:v>2.6655555555555415</c:v>
                </c:pt>
                <c:pt idx="6">
                  <c:v>3.0532258064515894</c:v>
                </c:pt>
                <c:pt idx="7">
                  <c:v>2.916666666666667</c:v>
                </c:pt>
                <c:pt idx="8">
                  <c:v>3.8333333333333335</c:v>
                </c:pt>
                <c:pt idx="9">
                  <c:v>3.1333333333333333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1.5000000000000002</c:v>
                </c:pt>
                <c:pt idx="17">
                  <c:v>2.5833333333333335</c:v>
                </c:pt>
                <c:pt idx="18">
                  <c:v>3.0166666666666666</c:v>
                </c:pt>
                <c:pt idx="19">
                  <c:v>3.5166666666666666</c:v>
                </c:pt>
                <c:pt idx="20">
                  <c:v>2.85</c:v>
                </c:pt>
                <c:pt idx="21">
                  <c:v>2.2833333333333332</c:v>
                </c:pt>
                <c:pt idx="22">
                  <c:v>1.6166666666666667</c:v>
                </c:pt>
                <c:pt idx="23">
                  <c:v>1.4833333333333336</c:v>
                </c:pt>
                <c:pt idx="24">
                  <c:v>1.1000000000000001</c:v>
                </c:pt>
                <c:pt idx="25">
                  <c:v>1.1000000000000001</c:v>
                </c:pt>
                <c:pt idx="26">
                  <c:v>1.1000000000000001</c:v>
                </c:pt>
                <c:pt idx="27">
                  <c:v>1.1000000000000001</c:v>
                </c:pt>
                <c:pt idx="28">
                  <c:v>1.6833333333333336</c:v>
                </c:pt>
                <c:pt idx="29">
                  <c:v>2.416666666666667</c:v>
                </c:pt>
                <c:pt idx="30">
                  <c:v>2.9000000000000004</c:v>
                </c:pt>
                <c:pt idx="31">
                  <c:v>3.1</c:v>
                </c:pt>
                <c:pt idx="32">
                  <c:v>2.6</c:v>
                </c:pt>
                <c:pt idx="33">
                  <c:v>2.5666666666666664</c:v>
                </c:pt>
                <c:pt idx="34">
                  <c:v>1.55</c:v>
                </c:pt>
                <c:pt idx="35">
                  <c:v>1.4000000000000001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1.1000000000000001</c:v>
                </c:pt>
                <c:pt idx="39">
                  <c:v>1.1000000000000001</c:v>
                </c:pt>
                <c:pt idx="40">
                  <c:v>1.7666666666666666</c:v>
                </c:pt>
                <c:pt idx="41">
                  <c:v>2.6333333333333337</c:v>
                </c:pt>
                <c:pt idx="42">
                  <c:v>2.9833333333333334</c:v>
                </c:pt>
                <c:pt idx="43">
                  <c:v>3.45</c:v>
                </c:pt>
                <c:pt idx="44">
                  <c:v>3.25</c:v>
                </c:pt>
                <c:pt idx="45">
                  <c:v>2.75</c:v>
                </c:pt>
                <c:pt idx="46">
                  <c:v>2.3833333333333337</c:v>
                </c:pt>
                <c:pt idx="47">
                  <c:v>1.5666666666666669</c:v>
                </c:pt>
                <c:pt idx="48">
                  <c:v>1.1000000000000001</c:v>
                </c:pt>
                <c:pt idx="49">
                  <c:v>1.1000000000000001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1.85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C800-452B-9173-644D6DF99221}"/>
            </c:ext>
          </c:extLst>
        </c:ser>
        <c:ser>
          <c:idx val="1"/>
          <c:order val="1"/>
          <c:tx>
            <c:strRef>
              <c:f>simral!$G$6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simral!$A$7:$A$59</c:f>
              <c:numCache>
                <c:formatCode>dd/mm/yy;@</c:formatCode>
                <c:ptCount val="53"/>
                <c:pt idx="0">
                  <c:v>42916</c:v>
                </c:pt>
                <c:pt idx="1">
                  <c:v>42947</c:v>
                </c:pt>
                <c:pt idx="2">
                  <c:v>42978</c:v>
                </c:pt>
                <c:pt idx="3">
                  <c:v>43008</c:v>
                </c:pt>
                <c:pt idx="4">
                  <c:v>43039</c:v>
                </c:pt>
                <c:pt idx="5">
                  <c:v>43069</c:v>
                </c:pt>
                <c:pt idx="6">
                  <c:v>43100</c:v>
                </c:pt>
                <c:pt idx="7">
                  <c:v>43131</c:v>
                </c:pt>
                <c:pt idx="8">
                  <c:v>43159</c:v>
                </c:pt>
                <c:pt idx="9">
                  <c:v>43190</c:v>
                </c:pt>
                <c:pt idx="10">
                  <c:v>43220</c:v>
                </c:pt>
                <c:pt idx="11">
                  <c:v>43251</c:v>
                </c:pt>
                <c:pt idx="12">
                  <c:v>43281</c:v>
                </c:pt>
                <c:pt idx="13">
                  <c:v>43312</c:v>
                </c:pt>
                <c:pt idx="14">
                  <c:v>43343</c:v>
                </c:pt>
                <c:pt idx="15">
                  <c:v>43373</c:v>
                </c:pt>
                <c:pt idx="16">
                  <c:v>43404</c:v>
                </c:pt>
                <c:pt idx="17">
                  <c:v>43434</c:v>
                </c:pt>
                <c:pt idx="18">
                  <c:v>43465</c:v>
                </c:pt>
                <c:pt idx="19">
                  <c:v>43496</c:v>
                </c:pt>
                <c:pt idx="20">
                  <c:v>43524</c:v>
                </c:pt>
                <c:pt idx="21">
                  <c:v>43555</c:v>
                </c:pt>
                <c:pt idx="22">
                  <c:v>43585</c:v>
                </c:pt>
                <c:pt idx="23">
                  <c:v>43616</c:v>
                </c:pt>
                <c:pt idx="24">
                  <c:v>43646</c:v>
                </c:pt>
                <c:pt idx="25">
                  <c:v>43677</c:v>
                </c:pt>
                <c:pt idx="26">
                  <c:v>43708</c:v>
                </c:pt>
                <c:pt idx="27">
                  <c:v>43738</c:v>
                </c:pt>
                <c:pt idx="28">
                  <c:v>43769</c:v>
                </c:pt>
                <c:pt idx="29">
                  <c:v>43799</c:v>
                </c:pt>
                <c:pt idx="30">
                  <c:v>43830</c:v>
                </c:pt>
                <c:pt idx="31">
                  <c:v>43861</c:v>
                </c:pt>
                <c:pt idx="32">
                  <c:v>43890</c:v>
                </c:pt>
                <c:pt idx="33">
                  <c:v>43921</c:v>
                </c:pt>
                <c:pt idx="34">
                  <c:v>43951</c:v>
                </c:pt>
                <c:pt idx="35">
                  <c:v>43982</c:v>
                </c:pt>
                <c:pt idx="36">
                  <c:v>44012</c:v>
                </c:pt>
                <c:pt idx="37">
                  <c:v>44043</c:v>
                </c:pt>
                <c:pt idx="38">
                  <c:v>44074</c:v>
                </c:pt>
                <c:pt idx="39">
                  <c:v>44104</c:v>
                </c:pt>
                <c:pt idx="40">
                  <c:v>44135</c:v>
                </c:pt>
                <c:pt idx="41">
                  <c:v>44165</c:v>
                </c:pt>
                <c:pt idx="42">
                  <c:v>44196</c:v>
                </c:pt>
                <c:pt idx="43">
                  <c:v>44227</c:v>
                </c:pt>
                <c:pt idx="44">
                  <c:v>44255</c:v>
                </c:pt>
                <c:pt idx="45">
                  <c:v>44286</c:v>
                </c:pt>
                <c:pt idx="46">
                  <c:v>44316</c:v>
                </c:pt>
                <c:pt idx="47">
                  <c:v>44347</c:v>
                </c:pt>
                <c:pt idx="48">
                  <c:v>44377</c:v>
                </c:pt>
                <c:pt idx="49">
                  <c:v>44408</c:v>
                </c:pt>
                <c:pt idx="50">
                  <c:v>44439</c:v>
                </c:pt>
                <c:pt idx="51">
                  <c:v>44469</c:v>
                </c:pt>
                <c:pt idx="52">
                  <c:v>44500</c:v>
                </c:pt>
              </c:numCache>
            </c:numRef>
          </c:xVal>
          <c:yVal>
            <c:numRef>
              <c:f>simral!$G$7:$G$59</c:f>
              <c:numCache>
                <c:formatCode>General</c:formatCode>
                <c:ptCount val="53"/>
                <c:pt idx="2">
                  <c:v>9.2338709677419362E-2</c:v>
                </c:pt>
                <c:pt idx="3">
                  <c:v>1.766111111111111</c:v>
                </c:pt>
                <c:pt idx="4">
                  <c:v>1.8169354838709675</c:v>
                </c:pt>
                <c:pt idx="5">
                  <c:v>2.5677777777777777</c:v>
                </c:pt>
                <c:pt idx="6">
                  <c:v>3.2732526881720432</c:v>
                </c:pt>
                <c:pt idx="7">
                  <c:v>3.2401881720430108</c:v>
                </c:pt>
                <c:pt idx="8">
                  <c:v>6.3416666666666677</c:v>
                </c:pt>
                <c:pt idx="9">
                  <c:v>4.378360215053763</c:v>
                </c:pt>
                <c:pt idx="10">
                  <c:v>1.2470833333333333</c:v>
                </c:pt>
                <c:pt idx="11">
                  <c:v>1.2299731182795699</c:v>
                </c:pt>
                <c:pt idx="12">
                  <c:v>1.4259722222222224</c:v>
                </c:pt>
                <c:pt idx="13">
                  <c:v>1.2466397849462365</c:v>
                </c:pt>
                <c:pt idx="14">
                  <c:v>1.2201612903225805</c:v>
                </c:pt>
                <c:pt idx="15">
                  <c:v>1.5152777777777777</c:v>
                </c:pt>
                <c:pt idx="16">
                  <c:v>2.3130376344086021</c:v>
                </c:pt>
                <c:pt idx="17">
                  <c:v>5.1019444444444444</c:v>
                </c:pt>
                <c:pt idx="18">
                  <c:v>5.8286290322580641</c:v>
                </c:pt>
                <c:pt idx="19">
                  <c:v>5.136424731182796</c:v>
                </c:pt>
                <c:pt idx="20">
                  <c:v>4.4718749999999998</c:v>
                </c:pt>
                <c:pt idx="21">
                  <c:v>3.2747311827956991</c:v>
                </c:pt>
                <c:pt idx="22">
                  <c:v>2.4780555555555557</c:v>
                </c:pt>
                <c:pt idx="23">
                  <c:v>2.2056451612903225</c:v>
                </c:pt>
                <c:pt idx="24">
                  <c:v>1.0999999999999999</c:v>
                </c:pt>
                <c:pt idx="25">
                  <c:v>1.1204301075268817</c:v>
                </c:pt>
                <c:pt idx="26">
                  <c:v>1.2864247311827957</c:v>
                </c:pt>
                <c:pt idx="27">
                  <c:v>1.8098611111111109</c:v>
                </c:pt>
                <c:pt idx="28">
                  <c:v>2.5256720430107524</c:v>
                </c:pt>
                <c:pt idx="29">
                  <c:v>5.0231944444444441</c:v>
                </c:pt>
                <c:pt idx="30">
                  <c:v>6.083333333333333</c:v>
                </c:pt>
                <c:pt idx="31">
                  <c:v>5.2620967741935489</c:v>
                </c:pt>
                <c:pt idx="32">
                  <c:v>4.8965517241379315</c:v>
                </c:pt>
                <c:pt idx="33">
                  <c:v>4.190860215053763</c:v>
                </c:pt>
                <c:pt idx="34">
                  <c:v>2.5430555555555556</c:v>
                </c:pt>
                <c:pt idx="35">
                  <c:v>2.2701612903225805</c:v>
                </c:pt>
                <c:pt idx="36">
                  <c:v>1.4375</c:v>
                </c:pt>
                <c:pt idx="37">
                  <c:v>1.314516129032258</c:v>
                </c:pt>
                <c:pt idx="38">
                  <c:v>1</c:v>
                </c:pt>
                <c:pt idx="39">
                  <c:v>1.5208333333333333</c:v>
                </c:pt>
                <c:pt idx="40">
                  <c:v>2.2231182795698925</c:v>
                </c:pt>
                <c:pt idx="41">
                  <c:v>2.7166666666666668</c:v>
                </c:pt>
                <c:pt idx="42">
                  <c:v>3.2177419354838706</c:v>
                </c:pt>
                <c:pt idx="43">
                  <c:v>3.470430107526882</c:v>
                </c:pt>
                <c:pt idx="44">
                  <c:v>3.4047619047619047</c:v>
                </c:pt>
                <c:pt idx="45">
                  <c:v>1.489247311827957</c:v>
                </c:pt>
                <c:pt idx="46">
                  <c:v>0.63194444444444442</c:v>
                </c:pt>
                <c:pt idx="47">
                  <c:v>0.20026881720430109</c:v>
                </c:pt>
                <c:pt idx="48">
                  <c:v>5.1388888888888894E-2</c:v>
                </c:pt>
                <c:pt idx="49">
                  <c:v>6.3172043010752688E-2</c:v>
                </c:pt>
                <c:pt idx="50">
                  <c:v>0.19623655913978497</c:v>
                </c:pt>
                <c:pt idx="51">
                  <c:v>9.0277777777777776E-2</c:v>
                </c:pt>
                <c:pt idx="52">
                  <c:v>0.72043010752688164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C800-452B-9173-644D6DF99221}"/>
            </c:ext>
          </c:extLst>
        </c:ser>
        <c:axId val="147344000"/>
        <c:axId val="147354368"/>
      </c:scatterChart>
      <c:valAx>
        <c:axId val="14734400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d/mm/yy;@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7354368"/>
        <c:crosses val="autoZero"/>
        <c:crossBetween val="midCat"/>
      </c:valAx>
      <c:valAx>
        <c:axId val="147354368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4734400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teploty</a:t>
            </a:r>
            <a:r>
              <a:rPr lang="cs-CZ" baseline="0"/>
              <a:t> misto cca 420 m.n.m. / Kbely 280 m.n.m.</a:t>
            </a:r>
            <a:r>
              <a:rPr lang="cs-CZ"/>
              <a:t>v grafu. rozdil 1K</a:t>
            </a:r>
          </a:p>
        </c:rich>
      </c:tx>
      <c:spPr>
        <a:noFill/>
        <a:ln w="25400">
          <a:noFill/>
        </a:ln>
      </c:spPr>
    </c:title>
    <c:plotArea>
      <c:layout/>
      <c:scatterChart>
        <c:scatterStyle val="lineMarker"/>
        <c:ser>
          <c:idx val="0"/>
          <c:order val="0"/>
          <c:tx>
            <c:strRef>
              <c:f>simral!$C$6</c:f>
              <c:strCache>
                <c:ptCount val="1"/>
                <c:pt idx="0">
                  <c:v>°C Kbely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simral!$A$7:$A$59</c:f>
              <c:numCache>
                <c:formatCode>dd/mm/yy;@</c:formatCode>
                <c:ptCount val="53"/>
                <c:pt idx="0">
                  <c:v>42916</c:v>
                </c:pt>
                <c:pt idx="1">
                  <c:v>42947</c:v>
                </c:pt>
                <c:pt idx="2">
                  <c:v>42978</c:v>
                </c:pt>
                <c:pt idx="3">
                  <c:v>43008</c:v>
                </c:pt>
                <c:pt idx="4">
                  <c:v>43039</c:v>
                </c:pt>
                <c:pt idx="5">
                  <c:v>43069</c:v>
                </c:pt>
                <c:pt idx="6">
                  <c:v>43100</c:v>
                </c:pt>
                <c:pt idx="7">
                  <c:v>43131</c:v>
                </c:pt>
                <c:pt idx="8">
                  <c:v>43159</c:v>
                </c:pt>
                <c:pt idx="9">
                  <c:v>43190</c:v>
                </c:pt>
                <c:pt idx="10">
                  <c:v>43220</c:v>
                </c:pt>
                <c:pt idx="11">
                  <c:v>43251</c:v>
                </c:pt>
                <c:pt idx="12">
                  <c:v>43281</c:v>
                </c:pt>
                <c:pt idx="13">
                  <c:v>43312</c:v>
                </c:pt>
                <c:pt idx="14">
                  <c:v>43343</c:v>
                </c:pt>
                <c:pt idx="15">
                  <c:v>43373</c:v>
                </c:pt>
                <c:pt idx="16">
                  <c:v>43404</c:v>
                </c:pt>
                <c:pt idx="17">
                  <c:v>43434</c:v>
                </c:pt>
                <c:pt idx="18">
                  <c:v>43465</c:v>
                </c:pt>
                <c:pt idx="19">
                  <c:v>43496</c:v>
                </c:pt>
                <c:pt idx="20">
                  <c:v>43524</c:v>
                </c:pt>
                <c:pt idx="21">
                  <c:v>43555</c:v>
                </c:pt>
                <c:pt idx="22">
                  <c:v>43585</c:v>
                </c:pt>
                <c:pt idx="23">
                  <c:v>43616</c:v>
                </c:pt>
                <c:pt idx="24">
                  <c:v>43646</c:v>
                </c:pt>
                <c:pt idx="25">
                  <c:v>43677</c:v>
                </c:pt>
                <c:pt idx="26">
                  <c:v>43708</c:v>
                </c:pt>
                <c:pt idx="27">
                  <c:v>43738</c:v>
                </c:pt>
                <c:pt idx="28">
                  <c:v>43769</c:v>
                </c:pt>
                <c:pt idx="29">
                  <c:v>43799</c:v>
                </c:pt>
                <c:pt idx="30">
                  <c:v>43830</c:v>
                </c:pt>
                <c:pt idx="31">
                  <c:v>43861</c:v>
                </c:pt>
                <c:pt idx="32">
                  <c:v>43890</c:v>
                </c:pt>
                <c:pt idx="33">
                  <c:v>43921</c:v>
                </c:pt>
                <c:pt idx="34">
                  <c:v>43951</c:v>
                </c:pt>
                <c:pt idx="35">
                  <c:v>43982</c:v>
                </c:pt>
                <c:pt idx="36">
                  <c:v>44012</c:v>
                </c:pt>
                <c:pt idx="37">
                  <c:v>44043</c:v>
                </c:pt>
                <c:pt idx="38">
                  <c:v>44074</c:v>
                </c:pt>
                <c:pt idx="39">
                  <c:v>44104</c:v>
                </c:pt>
                <c:pt idx="40">
                  <c:v>44135</c:v>
                </c:pt>
                <c:pt idx="41">
                  <c:v>44165</c:v>
                </c:pt>
                <c:pt idx="42">
                  <c:v>44196</c:v>
                </c:pt>
                <c:pt idx="43">
                  <c:v>44227</c:v>
                </c:pt>
                <c:pt idx="44">
                  <c:v>44255</c:v>
                </c:pt>
                <c:pt idx="45">
                  <c:v>44286</c:v>
                </c:pt>
                <c:pt idx="46">
                  <c:v>44316</c:v>
                </c:pt>
                <c:pt idx="47">
                  <c:v>44347</c:v>
                </c:pt>
                <c:pt idx="48">
                  <c:v>44377</c:v>
                </c:pt>
                <c:pt idx="49">
                  <c:v>44408</c:v>
                </c:pt>
                <c:pt idx="50">
                  <c:v>44439</c:v>
                </c:pt>
                <c:pt idx="51">
                  <c:v>44469</c:v>
                </c:pt>
                <c:pt idx="52">
                  <c:v>44500</c:v>
                </c:pt>
              </c:numCache>
            </c:numRef>
          </c:xVal>
          <c:yVal>
            <c:numRef>
              <c:f>simral!$C$7:$C$59</c:f>
              <c:numCache>
                <c:formatCode>General</c:formatCode>
                <c:ptCount val="53"/>
                <c:pt idx="2">
                  <c:v>19.338709677419356</c:v>
                </c:pt>
                <c:pt idx="3">
                  <c:v>13.006666666666872</c:v>
                </c:pt>
                <c:pt idx="4">
                  <c:v>10.809677419354909</c:v>
                </c:pt>
                <c:pt idx="5">
                  <c:v>4.6066666666667517</c:v>
                </c:pt>
                <c:pt idx="6">
                  <c:v>2.2806451612904635</c:v>
                </c:pt>
                <c:pt idx="7">
                  <c:v>3.2483870967741582</c:v>
                </c:pt>
                <c:pt idx="8">
                  <c:v>-2.5500000000000518</c:v>
                </c:pt>
                <c:pt idx="9">
                  <c:v>2.3838709677420411</c:v>
                </c:pt>
                <c:pt idx="10">
                  <c:v>13.99333333333337</c:v>
                </c:pt>
                <c:pt idx="11">
                  <c:v>17.454838709677372</c:v>
                </c:pt>
                <c:pt idx="12">
                  <c:v>18.759999999999977</c:v>
                </c:pt>
                <c:pt idx="13">
                  <c:v>21.961290322580503</c:v>
                </c:pt>
                <c:pt idx="14">
                  <c:v>21.751612903225901</c:v>
                </c:pt>
                <c:pt idx="15">
                  <c:v>16.043333333333369</c:v>
                </c:pt>
                <c:pt idx="16">
                  <c:v>11.01935483870969</c:v>
                </c:pt>
                <c:pt idx="17">
                  <c:v>4.2866666666666786</c:v>
                </c:pt>
                <c:pt idx="18">
                  <c:v>3.2290322580642932</c:v>
                </c:pt>
                <c:pt idx="19">
                  <c:v>-1.2903225806557232E-2</c:v>
                </c:pt>
                <c:pt idx="20">
                  <c:v>3.067857142857195</c:v>
                </c:pt>
                <c:pt idx="21">
                  <c:v>7.361290322580551</c:v>
                </c:pt>
                <c:pt idx="22">
                  <c:v>10.860000000000097</c:v>
                </c:pt>
                <c:pt idx="23">
                  <c:v>12.29354838709661</c:v>
                </c:pt>
                <c:pt idx="24">
                  <c:v>22.053333333333526</c:v>
                </c:pt>
                <c:pt idx="25">
                  <c:v>20.22903225806435</c:v>
                </c:pt>
                <c:pt idx="26">
                  <c:v>20.332258064516104</c:v>
                </c:pt>
                <c:pt idx="27">
                  <c:v>14.676666666666522</c:v>
                </c:pt>
                <c:pt idx="28">
                  <c:v>10.209677419354721</c:v>
                </c:pt>
                <c:pt idx="29">
                  <c:v>6.1799999999999269</c:v>
                </c:pt>
                <c:pt idx="30">
                  <c:v>3.0612903225802226</c:v>
                </c:pt>
                <c:pt idx="31">
                  <c:v>1.8483870967739353</c:v>
                </c:pt>
                <c:pt idx="32">
                  <c:v>5.1965517241380814</c:v>
                </c:pt>
                <c:pt idx="33">
                  <c:v>4.9870967741935015</c:v>
                </c:pt>
                <c:pt idx="34">
                  <c:v>10.960000000000218</c:v>
                </c:pt>
                <c:pt idx="35">
                  <c:v>12.390322580645231</c:v>
                </c:pt>
                <c:pt idx="36">
                  <c:v>17.819999999999951</c:v>
                </c:pt>
                <c:pt idx="37">
                  <c:v>19.425806451613045</c:v>
                </c:pt>
                <c:pt idx="38">
                  <c:v>20.164516129032329</c:v>
                </c:pt>
                <c:pt idx="39">
                  <c:v>15.693333333333067</c:v>
                </c:pt>
                <c:pt idx="40">
                  <c:v>10.200000000000024</c:v>
                </c:pt>
                <c:pt idx="41">
                  <c:v>4.4833333333335759</c:v>
                </c:pt>
                <c:pt idx="42">
                  <c:v>2.9193548387097947</c:v>
                </c:pt>
                <c:pt idx="43">
                  <c:v>5.4838709677325473E-2</c:v>
                </c:pt>
                <c:pt idx="44">
                  <c:v>-0.5035714285715065</c:v>
                </c:pt>
                <c:pt idx="45">
                  <c:v>4.6000000000003052</c:v>
                </c:pt>
                <c:pt idx="46">
                  <c:v>6.4666666666667876</c:v>
                </c:pt>
                <c:pt idx="47">
                  <c:v>11.780645161290463</c:v>
                </c:pt>
                <c:pt idx="48">
                  <c:v>20.053333333333285</c:v>
                </c:pt>
                <c:pt idx="49">
                  <c:v>19.754838709677465</c:v>
                </c:pt>
                <c:pt idx="50">
                  <c:v>17.37741935483885</c:v>
                </c:pt>
                <c:pt idx="51">
                  <c:v>15.863333333333625</c:v>
                </c:pt>
                <c:pt idx="52">
                  <c:v>10.130769230769566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7D6-49C4-B87B-83D09DCECF16}"/>
            </c:ext>
          </c:extLst>
        </c:ser>
        <c:ser>
          <c:idx val="1"/>
          <c:order val="1"/>
          <c:tx>
            <c:strRef>
              <c:f>simral!$D$6</c:f>
              <c:strCache>
                <c:ptCount val="1"/>
                <c:pt idx="0">
                  <c:v>°C místni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simral!$A$7:$A$59</c:f>
              <c:numCache>
                <c:formatCode>dd/mm/yy;@</c:formatCode>
                <c:ptCount val="53"/>
                <c:pt idx="0">
                  <c:v>42916</c:v>
                </c:pt>
                <c:pt idx="1">
                  <c:v>42947</c:v>
                </c:pt>
                <c:pt idx="2">
                  <c:v>42978</c:v>
                </c:pt>
                <c:pt idx="3">
                  <c:v>43008</c:v>
                </c:pt>
                <c:pt idx="4">
                  <c:v>43039</c:v>
                </c:pt>
                <c:pt idx="5">
                  <c:v>43069</c:v>
                </c:pt>
                <c:pt idx="6">
                  <c:v>43100</c:v>
                </c:pt>
                <c:pt idx="7">
                  <c:v>43131</c:v>
                </c:pt>
                <c:pt idx="8">
                  <c:v>43159</c:v>
                </c:pt>
                <c:pt idx="9">
                  <c:v>43190</c:v>
                </c:pt>
                <c:pt idx="10">
                  <c:v>43220</c:v>
                </c:pt>
                <c:pt idx="11">
                  <c:v>43251</c:v>
                </c:pt>
                <c:pt idx="12">
                  <c:v>43281</c:v>
                </c:pt>
                <c:pt idx="13">
                  <c:v>43312</c:v>
                </c:pt>
                <c:pt idx="14">
                  <c:v>43343</c:v>
                </c:pt>
                <c:pt idx="15">
                  <c:v>43373</c:v>
                </c:pt>
                <c:pt idx="16">
                  <c:v>43404</c:v>
                </c:pt>
                <c:pt idx="17">
                  <c:v>43434</c:v>
                </c:pt>
                <c:pt idx="18">
                  <c:v>43465</c:v>
                </c:pt>
                <c:pt idx="19">
                  <c:v>43496</c:v>
                </c:pt>
                <c:pt idx="20">
                  <c:v>43524</c:v>
                </c:pt>
                <c:pt idx="21">
                  <c:v>43555</c:v>
                </c:pt>
                <c:pt idx="22">
                  <c:v>43585</c:v>
                </c:pt>
                <c:pt idx="23">
                  <c:v>43616</c:v>
                </c:pt>
                <c:pt idx="24">
                  <c:v>43646</c:v>
                </c:pt>
                <c:pt idx="25">
                  <c:v>43677</c:v>
                </c:pt>
                <c:pt idx="26">
                  <c:v>43708</c:v>
                </c:pt>
                <c:pt idx="27">
                  <c:v>43738</c:v>
                </c:pt>
                <c:pt idx="28">
                  <c:v>43769</c:v>
                </c:pt>
                <c:pt idx="29">
                  <c:v>43799</c:v>
                </c:pt>
                <c:pt idx="30">
                  <c:v>43830</c:v>
                </c:pt>
                <c:pt idx="31">
                  <c:v>43861</c:v>
                </c:pt>
                <c:pt idx="32">
                  <c:v>43890</c:v>
                </c:pt>
                <c:pt idx="33">
                  <c:v>43921</c:v>
                </c:pt>
                <c:pt idx="34">
                  <c:v>43951</c:v>
                </c:pt>
                <c:pt idx="35">
                  <c:v>43982</c:v>
                </c:pt>
                <c:pt idx="36">
                  <c:v>44012</c:v>
                </c:pt>
                <c:pt idx="37">
                  <c:v>44043</c:v>
                </c:pt>
                <c:pt idx="38">
                  <c:v>44074</c:v>
                </c:pt>
                <c:pt idx="39">
                  <c:v>44104</c:v>
                </c:pt>
                <c:pt idx="40">
                  <c:v>44135</c:v>
                </c:pt>
                <c:pt idx="41">
                  <c:v>44165</c:v>
                </c:pt>
                <c:pt idx="42">
                  <c:v>44196</c:v>
                </c:pt>
                <c:pt idx="43">
                  <c:v>44227</c:v>
                </c:pt>
                <c:pt idx="44">
                  <c:v>44255</c:v>
                </c:pt>
                <c:pt idx="45">
                  <c:v>44286</c:v>
                </c:pt>
                <c:pt idx="46">
                  <c:v>44316</c:v>
                </c:pt>
                <c:pt idx="47">
                  <c:v>44347</c:v>
                </c:pt>
                <c:pt idx="48">
                  <c:v>44377</c:v>
                </c:pt>
                <c:pt idx="49">
                  <c:v>44408</c:v>
                </c:pt>
                <c:pt idx="50">
                  <c:v>44439</c:v>
                </c:pt>
                <c:pt idx="51">
                  <c:v>44469</c:v>
                </c:pt>
                <c:pt idx="52">
                  <c:v>44500</c:v>
                </c:pt>
              </c:numCache>
            </c:numRef>
          </c:xVal>
          <c:yVal>
            <c:numRef>
              <c:f>simral!$D$7:$D$59</c:f>
              <c:numCache>
                <c:formatCode>General</c:formatCode>
                <c:ptCount val="53"/>
                <c:pt idx="2">
                  <c:v>18.338709677419356</c:v>
                </c:pt>
                <c:pt idx="3">
                  <c:v>12.006666666666872</c:v>
                </c:pt>
                <c:pt idx="4">
                  <c:v>9.8096774193549088</c:v>
                </c:pt>
                <c:pt idx="5">
                  <c:v>3.6066666666667517</c:v>
                </c:pt>
                <c:pt idx="6">
                  <c:v>1.2806451612904635</c:v>
                </c:pt>
                <c:pt idx="7">
                  <c:v>2.1</c:v>
                </c:pt>
                <c:pt idx="8">
                  <c:v>-3.4</c:v>
                </c:pt>
                <c:pt idx="9">
                  <c:v>0.8</c:v>
                </c:pt>
                <c:pt idx="10">
                  <c:v>13.4</c:v>
                </c:pt>
                <c:pt idx="11">
                  <c:v>16.7</c:v>
                </c:pt>
                <c:pt idx="12">
                  <c:v>17.8</c:v>
                </c:pt>
                <c:pt idx="13">
                  <c:v>20.6</c:v>
                </c:pt>
                <c:pt idx="14">
                  <c:v>21.7</c:v>
                </c:pt>
                <c:pt idx="15">
                  <c:v>15.2</c:v>
                </c:pt>
                <c:pt idx="16">
                  <c:v>10.6</c:v>
                </c:pt>
                <c:pt idx="17">
                  <c:v>4.0999999999999996</c:v>
                </c:pt>
                <c:pt idx="18">
                  <c:v>1.5</c:v>
                </c:pt>
                <c:pt idx="19">
                  <c:v>-1.5</c:v>
                </c:pt>
                <c:pt idx="20">
                  <c:v>2.5</c:v>
                </c:pt>
                <c:pt idx="21">
                  <c:v>5.9</c:v>
                </c:pt>
                <c:pt idx="22">
                  <c:v>9.9</c:v>
                </c:pt>
                <c:pt idx="23">
                  <c:v>10.7</c:v>
                </c:pt>
                <c:pt idx="24">
                  <c:v>21</c:v>
                </c:pt>
                <c:pt idx="25">
                  <c:v>19</c:v>
                </c:pt>
                <c:pt idx="26">
                  <c:v>18.899999999999999</c:v>
                </c:pt>
                <c:pt idx="27">
                  <c:v>13.5</c:v>
                </c:pt>
                <c:pt idx="28">
                  <c:v>9.5</c:v>
                </c:pt>
                <c:pt idx="29">
                  <c:v>5.0999999999999996</c:v>
                </c:pt>
                <c:pt idx="30">
                  <c:v>2.2000000000000002</c:v>
                </c:pt>
                <c:pt idx="31">
                  <c:v>1</c:v>
                </c:pt>
                <c:pt idx="32">
                  <c:v>4</c:v>
                </c:pt>
                <c:pt idx="33">
                  <c:v>4.2</c:v>
                </c:pt>
                <c:pt idx="34">
                  <c:v>10.3</c:v>
                </c:pt>
                <c:pt idx="35">
                  <c:v>11.2</c:v>
                </c:pt>
                <c:pt idx="36">
                  <c:v>16.100000000000001</c:v>
                </c:pt>
                <c:pt idx="37">
                  <c:v>18</c:v>
                </c:pt>
                <c:pt idx="38">
                  <c:v>19.2</c:v>
                </c:pt>
                <c:pt idx="39">
                  <c:v>14.9</c:v>
                </c:pt>
                <c:pt idx="40">
                  <c:v>9</c:v>
                </c:pt>
                <c:pt idx="41">
                  <c:v>3.8</c:v>
                </c:pt>
                <c:pt idx="42">
                  <c:v>1.7</c:v>
                </c:pt>
                <c:pt idx="43">
                  <c:v>-1.1000000000000001</c:v>
                </c:pt>
                <c:pt idx="44">
                  <c:v>0.1</c:v>
                </c:pt>
                <c:pt idx="45">
                  <c:v>3.1</c:v>
                </c:pt>
                <c:pt idx="46">
                  <c:v>5.3</c:v>
                </c:pt>
                <c:pt idx="47">
                  <c:v>10.199999999999999</c:v>
                </c:pt>
                <c:pt idx="48">
                  <c:v>19</c:v>
                </c:pt>
                <c:pt idx="49">
                  <c:v>18.399999999999999</c:v>
                </c:pt>
                <c:pt idx="50">
                  <c:v>16</c:v>
                </c:pt>
                <c:pt idx="51">
                  <c:v>15</c:v>
                </c:pt>
                <c:pt idx="52">
                  <c:v>8.5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7D6-49C4-B87B-83D09DCECF16}"/>
            </c:ext>
          </c:extLst>
        </c:ser>
        <c:axId val="147383040"/>
        <c:axId val="147384960"/>
      </c:scatterChart>
      <c:valAx>
        <c:axId val="14738304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d/mm/yy;@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7384960"/>
        <c:crosses val="autoZero"/>
        <c:crossBetween val="midCat"/>
      </c:valAx>
      <c:valAx>
        <c:axId val="14738496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47383040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800" baseline="0"/>
              <a:t>Porovnání lokální meteostanice s letištěm Kbely s korekcí nadmořské výšky</a:t>
            </a:r>
          </a:p>
        </c:rich>
      </c:tx>
    </c:title>
    <c:plotArea>
      <c:layout/>
      <c:scatterChart>
        <c:scatterStyle val="lineMarker"/>
        <c:ser>
          <c:idx val="1"/>
          <c:order val="0"/>
          <c:tx>
            <c:strRef>
              <c:f>Novak!$C$3</c:f>
              <c:strCache>
                <c:ptCount val="1"/>
                <c:pt idx="0">
                  <c:v>korekce na nadm. výšku</c:v>
                </c:pt>
              </c:strCache>
            </c:strRef>
          </c:tx>
          <c:xVal>
            <c:numRef>
              <c:f>Novak!$A$4:$A$47</c:f>
              <c:numCache>
                <c:formatCode>mmm/yy</c:formatCode>
                <c:ptCount val="44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</c:numCache>
            </c:numRef>
          </c:xVal>
          <c:yVal>
            <c:numRef>
              <c:f>Novak!$C$4:$C$47</c:f>
              <c:numCache>
                <c:formatCode>General</c:formatCode>
                <c:ptCount val="44"/>
                <c:pt idx="0">
                  <c:v>9.6477666666666835</c:v>
                </c:pt>
                <c:pt idx="1">
                  <c:v>7.4507774193548286</c:v>
                </c:pt>
                <c:pt idx="2">
                  <c:v>1.24776666666666</c:v>
                </c:pt>
                <c:pt idx="3">
                  <c:v>-1.0782548387096909</c:v>
                </c:pt>
                <c:pt idx="4">
                  <c:v>-0.11051290322579765</c:v>
                </c:pt>
                <c:pt idx="5">
                  <c:v>-5.9089000000000116</c:v>
                </c:pt>
                <c:pt idx="6">
                  <c:v>-0.9750290322580546</c:v>
                </c:pt>
                <c:pt idx="7">
                  <c:v>10.634433333333316</c:v>
                </c:pt>
                <c:pt idx="8">
                  <c:v>14.095938709677432</c:v>
                </c:pt>
                <c:pt idx="9">
                  <c:v>15.401100000000005</c:v>
                </c:pt>
                <c:pt idx="10">
                  <c:v>18.602390322580682</c:v>
                </c:pt>
                <c:pt idx="11">
                  <c:v>18.392712903225735</c:v>
                </c:pt>
                <c:pt idx="12">
                  <c:v>12.684433333333368</c:v>
                </c:pt>
                <c:pt idx="13">
                  <c:v>7.6604548387096898</c:v>
                </c:pt>
                <c:pt idx="14">
                  <c:v>0.9277666666666784</c:v>
                </c:pt>
                <c:pt idx="15">
                  <c:v>-0.12986774193570705</c:v>
                </c:pt>
                <c:pt idx="16">
                  <c:v>-3.3718032258065573</c:v>
                </c:pt>
                <c:pt idx="17">
                  <c:v>-0.2910428571428052</c:v>
                </c:pt>
                <c:pt idx="18">
                  <c:v>4.0023903225805508</c:v>
                </c:pt>
                <c:pt idx="19">
                  <c:v>7.5011000000000969</c:v>
                </c:pt>
                <c:pt idx="20">
                  <c:v>8.93464838709661</c:v>
                </c:pt>
                <c:pt idx="21">
                  <c:v>18.694433333333528</c:v>
                </c:pt>
                <c:pt idx="22">
                  <c:v>16.870132258064352</c:v>
                </c:pt>
                <c:pt idx="23">
                  <c:v>16.973358064516106</c:v>
                </c:pt>
                <c:pt idx="24">
                  <c:v>11.317766666666522</c:v>
                </c:pt>
                <c:pt idx="25">
                  <c:v>6.8507774193547206</c:v>
                </c:pt>
                <c:pt idx="26">
                  <c:v>2.8210999999999267</c:v>
                </c:pt>
                <c:pt idx="27">
                  <c:v>-0.29760967741977762</c:v>
                </c:pt>
                <c:pt idx="28">
                  <c:v>-1.5105129032260649</c:v>
                </c:pt>
                <c:pt idx="29">
                  <c:v>1.8376517241380812</c:v>
                </c:pt>
                <c:pt idx="30">
                  <c:v>1.6281967741935013</c:v>
                </c:pt>
                <c:pt idx="31">
                  <c:v>7.6011000000002173</c:v>
                </c:pt>
                <c:pt idx="32">
                  <c:v>9.0314225806452306</c:v>
                </c:pt>
                <c:pt idx="33">
                  <c:v>14.46109999999995</c:v>
                </c:pt>
                <c:pt idx="34">
                  <c:v>16.066906451613043</c:v>
                </c:pt>
                <c:pt idx="35">
                  <c:v>16.80561612903233</c:v>
                </c:pt>
                <c:pt idx="36">
                  <c:v>12.334433333333067</c:v>
                </c:pt>
                <c:pt idx="37">
                  <c:v>6.8411000000000239</c:v>
                </c:pt>
                <c:pt idx="38">
                  <c:v>1.1244333333335756</c:v>
                </c:pt>
                <c:pt idx="39">
                  <c:v>-0.43954516129020549</c:v>
                </c:pt>
                <c:pt idx="40">
                  <c:v>-3.3040612903226747</c:v>
                </c:pt>
                <c:pt idx="41">
                  <c:v>-3.8624714285715065</c:v>
                </c:pt>
                <c:pt idx="42">
                  <c:v>-1.6838999999989088</c:v>
                </c:pt>
                <c:pt idx="43">
                  <c:v>-2.8463582015363764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C013-4545-AB1C-AECC947CD2D8}"/>
            </c:ext>
          </c:extLst>
        </c:ser>
        <c:ser>
          <c:idx val="2"/>
          <c:order val="1"/>
          <c:tx>
            <c:strRef>
              <c:f>Novak!$D$3</c:f>
              <c:strCache>
                <c:ptCount val="1"/>
                <c:pt idx="0">
                  <c:v>prům tepl - data Novák</c:v>
                </c:pt>
              </c:strCache>
            </c:strRef>
          </c:tx>
          <c:xVal>
            <c:numRef>
              <c:f>Novak!$A$4:$A$47</c:f>
              <c:numCache>
                <c:formatCode>mmm/yy</c:formatCode>
                <c:ptCount val="44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  <c:pt idx="42">
                  <c:v>44256</c:v>
                </c:pt>
                <c:pt idx="43">
                  <c:v>44287</c:v>
                </c:pt>
              </c:numCache>
            </c:numRef>
          </c:xVal>
          <c:yVal>
            <c:numRef>
              <c:f>Novak!$D$4:$D$47</c:f>
              <c:numCache>
                <c:formatCode>General</c:formatCode>
                <c:ptCount val="44"/>
                <c:pt idx="0">
                  <c:v>10.1</c:v>
                </c:pt>
                <c:pt idx="1">
                  <c:v>8.6999999999999993</c:v>
                </c:pt>
                <c:pt idx="2">
                  <c:v>1.9</c:v>
                </c:pt>
                <c:pt idx="3">
                  <c:v>-0.8</c:v>
                </c:pt>
                <c:pt idx="4">
                  <c:v>0.3</c:v>
                </c:pt>
                <c:pt idx="5">
                  <c:v>-5.7</c:v>
                </c:pt>
                <c:pt idx="6">
                  <c:v>-1.6</c:v>
                </c:pt>
                <c:pt idx="7">
                  <c:v>10.3</c:v>
                </c:pt>
                <c:pt idx="8">
                  <c:v>13.7</c:v>
                </c:pt>
                <c:pt idx="9">
                  <c:v>14.9</c:v>
                </c:pt>
                <c:pt idx="10">
                  <c:v>17.7</c:v>
                </c:pt>
                <c:pt idx="11">
                  <c:v>17.899999999999999</c:v>
                </c:pt>
                <c:pt idx="12">
                  <c:v>12.8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-3.3</c:v>
                </c:pt>
                <c:pt idx="17">
                  <c:v>1.2</c:v>
                </c:pt>
                <c:pt idx="18">
                  <c:v>3.5</c:v>
                </c:pt>
                <c:pt idx="19">
                  <c:v>7.1</c:v>
                </c:pt>
                <c:pt idx="20">
                  <c:v>8</c:v>
                </c:pt>
                <c:pt idx="21">
                  <c:v>18.399999999999999</c:v>
                </c:pt>
                <c:pt idx="22">
                  <c:v>16.7</c:v>
                </c:pt>
                <c:pt idx="26">
                  <c:v>2.6</c:v>
                </c:pt>
                <c:pt idx="27">
                  <c:v>0.5</c:v>
                </c:pt>
                <c:pt idx="28">
                  <c:v>-0.3</c:v>
                </c:pt>
                <c:pt idx="29">
                  <c:v>1.6</c:v>
                </c:pt>
                <c:pt idx="30">
                  <c:v>1.1000000000000001</c:v>
                </c:pt>
                <c:pt idx="38">
                  <c:v>2.6</c:v>
                </c:pt>
                <c:pt idx="39">
                  <c:v>-0.7</c:v>
                </c:pt>
                <c:pt idx="40">
                  <c:v>-2.8</c:v>
                </c:pt>
                <c:pt idx="41">
                  <c:v>-2</c:v>
                </c:pt>
                <c:pt idx="42">
                  <c:v>-0.7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C013-4545-AB1C-AECC947CD2D8}"/>
            </c:ext>
          </c:extLst>
        </c:ser>
        <c:axId val="118424320"/>
        <c:axId val="118425856"/>
      </c:scatterChart>
      <c:valAx>
        <c:axId val="118424320"/>
        <c:scaling>
          <c:orientation val="minMax"/>
          <c:min val="42947"/>
        </c:scaling>
        <c:axPos val="b"/>
        <c:majorGridlines/>
        <c:numFmt formatCode="mmm/yy" sourceLinked="1"/>
        <c:tickLblPos val="nextTo"/>
        <c:crossAx val="118425856"/>
        <c:crosses val="autoZero"/>
        <c:crossBetween val="midCat"/>
        <c:majorUnit val="31"/>
      </c:valAx>
      <c:valAx>
        <c:axId val="118425856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11842432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Příkon(kW)/venk. teplota(°C)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baseline="0"/>
              <a:t>J</a:t>
            </a:r>
            <a:r>
              <a:rPr lang="cs-CZ"/>
              <a:t>arní oblouky jsou nižší</a:t>
            </a:r>
            <a:endParaRPr lang="en-US"/>
          </a:p>
        </c:rich>
      </c:tx>
      <c:spPr>
        <a:noFill/>
        <a:ln>
          <a:noFill/>
        </a:ln>
        <a:effectLst/>
      </c:spPr>
    </c:title>
    <c:plotArea>
      <c:layout/>
      <c:scatterChart>
        <c:scatterStyle val="lineMarker"/>
        <c:ser>
          <c:idx val="0"/>
          <c:order val="0"/>
          <c:tx>
            <c:strRef>
              <c:f>simral!$G$6</c:f>
              <c:strCache>
                <c:ptCount val="1"/>
                <c:pt idx="0">
                  <c:v>kW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simral!$D$19:$D$43</c:f>
              <c:numCache>
                <c:formatCode>General</c:formatCode>
                <c:ptCount val="25"/>
                <c:pt idx="0">
                  <c:v>17.8</c:v>
                </c:pt>
                <c:pt idx="1">
                  <c:v>20.6</c:v>
                </c:pt>
                <c:pt idx="2">
                  <c:v>21.7</c:v>
                </c:pt>
                <c:pt idx="3">
                  <c:v>15.2</c:v>
                </c:pt>
                <c:pt idx="4">
                  <c:v>10.6</c:v>
                </c:pt>
                <c:pt idx="5">
                  <c:v>4.0999999999999996</c:v>
                </c:pt>
                <c:pt idx="6">
                  <c:v>1.5</c:v>
                </c:pt>
                <c:pt idx="7">
                  <c:v>-1.5</c:v>
                </c:pt>
                <c:pt idx="8">
                  <c:v>2.5</c:v>
                </c:pt>
                <c:pt idx="9">
                  <c:v>5.9</c:v>
                </c:pt>
                <c:pt idx="10">
                  <c:v>9.9</c:v>
                </c:pt>
                <c:pt idx="11">
                  <c:v>10.7</c:v>
                </c:pt>
                <c:pt idx="12">
                  <c:v>21</c:v>
                </c:pt>
                <c:pt idx="13">
                  <c:v>19</c:v>
                </c:pt>
                <c:pt idx="14">
                  <c:v>18.899999999999999</c:v>
                </c:pt>
                <c:pt idx="15">
                  <c:v>13.5</c:v>
                </c:pt>
                <c:pt idx="16">
                  <c:v>9.5</c:v>
                </c:pt>
                <c:pt idx="17">
                  <c:v>5.0999999999999996</c:v>
                </c:pt>
                <c:pt idx="18">
                  <c:v>2.2000000000000002</c:v>
                </c:pt>
                <c:pt idx="19">
                  <c:v>1</c:v>
                </c:pt>
                <c:pt idx="20">
                  <c:v>4</c:v>
                </c:pt>
                <c:pt idx="21">
                  <c:v>4.2</c:v>
                </c:pt>
                <c:pt idx="22">
                  <c:v>10.3</c:v>
                </c:pt>
                <c:pt idx="23">
                  <c:v>11.2</c:v>
                </c:pt>
                <c:pt idx="24">
                  <c:v>16.100000000000001</c:v>
                </c:pt>
              </c:numCache>
            </c:numRef>
          </c:xVal>
          <c:yVal>
            <c:numRef>
              <c:f>simral!$G$19:$G$43</c:f>
              <c:numCache>
                <c:formatCode>General</c:formatCode>
                <c:ptCount val="25"/>
                <c:pt idx="0">
                  <c:v>1.4259722222222224</c:v>
                </c:pt>
                <c:pt idx="1">
                  <c:v>1.2466397849462365</c:v>
                </c:pt>
                <c:pt idx="2">
                  <c:v>1.2201612903225805</c:v>
                </c:pt>
                <c:pt idx="3">
                  <c:v>1.5152777777777777</c:v>
                </c:pt>
                <c:pt idx="4">
                  <c:v>2.3130376344086021</c:v>
                </c:pt>
                <c:pt idx="5">
                  <c:v>5.1019444444444444</c:v>
                </c:pt>
                <c:pt idx="6">
                  <c:v>5.8286290322580641</c:v>
                </c:pt>
                <c:pt idx="7">
                  <c:v>5.136424731182796</c:v>
                </c:pt>
                <c:pt idx="8">
                  <c:v>4.4718749999999998</c:v>
                </c:pt>
                <c:pt idx="9">
                  <c:v>3.2747311827956991</c:v>
                </c:pt>
                <c:pt idx="10">
                  <c:v>2.4780555555555557</c:v>
                </c:pt>
                <c:pt idx="11">
                  <c:v>2.2056451612903225</c:v>
                </c:pt>
                <c:pt idx="12">
                  <c:v>1.0999999999999999</c:v>
                </c:pt>
                <c:pt idx="13">
                  <c:v>1.1204301075268817</c:v>
                </c:pt>
                <c:pt idx="14">
                  <c:v>1.2864247311827957</c:v>
                </c:pt>
                <c:pt idx="15">
                  <c:v>1.8098611111111109</c:v>
                </c:pt>
                <c:pt idx="16">
                  <c:v>2.5256720430107524</c:v>
                </c:pt>
                <c:pt idx="17">
                  <c:v>5.0231944444444441</c:v>
                </c:pt>
                <c:pt idx="18">
                  <c:v>6.083333333333333</c:v>
                </c:pt>
                <c:pt idx="19">
                  <c:v>5.2620967741935489</c:v>
                </c:pt>
                <c:pt idx="20">
                  <c:v>4.8965517241379315</c:v>
                </c:pt>
                <c:pt idx="21">
                  <c:v>4.190860215053763</c:v>
                </c:pt>
                <c:pt idx="22">
                  <c:v>2.5430555555555556</c:v>
                </c:pt>
                <c:pt idx="23">
                  <c:v>2.2701612903225805</c:v>
                </c:pt>
                <c:pt idx="24">
                  <c:v>1.4375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074-4088-BF0D-6A76F7981135}"/>
            </c:ext>
          </c:extLst>
        </c:ser>
        <c:axId val="147429248"/>
        <c:axId val="147435520"/>
      </c:scatterChart>
      <c:valAx>
        <c:axId val="147429248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47435520"/>
        <c:crosses val="autoZero"/>
        <c:crossBetween val="midCat"/>
      </c:valAx>
      <c:valAx>
        <c:axId val="14743552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474292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kratky!$E$4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kratky!$A$5:$A$41</c:f>
              <c:numCache>
                <c:formatCode>mmm/yy</c:formatCode>
                <c:ptCount val="3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</c:numCache>
            </c:numRef>
          </c:xVal>
          <c:yVal>
            <c:numRef>
              <c:f>kratky!$E$5:$E$41</c:f>
              <c:numCache>
                <c:formatCode>General</c:formatCode>
                <c:ptCount val="37"/>
                <c:pt idx="1">
                  <c:v>0.40125</c:v>
                </c:pt>
                <c:pt idx="2">
                  <c:v>0.17258064516129032</c:v>
                </c:pt>
                <c:pt idx="3">
                  <c:v>0.13374999999999998</c:v>
                </c:pt>
                <c:pt idx="4">
                  <c:v>6.4717741935483866E-2</c:v>
                </c:pt>
                <c:pt idx="5">
                  <c:v>6.4717741935483866E-2</c:v>
                </c:pt>
                <c:pt idx="6">
                  <c:v>0.13374999999999998</c:v>
                </c:pt>
                <c:pt idx="7">
                  <c:v>0.47459677419354829</c:v>
                </c:pt>
                <c:pt idx="8">
                  <c:v>1.3820833333333333</c:v>
                </c:pt>
                <c:pt idx="9">
                  <c:v>1.0462701612903225</c:v>
                </c:pt>
                <c:pt idx="10">
                  <c:v>0.71189516129032249</c:v>
                </c:pt>
                <c:pt idx="11">
                  <c:v>0.24213362068965516</c:v>
                </c:pt>
                <c:pt idx="12">
                  <c:v>0.97076612903225801</c:v>
                </c:pt>
                <c:pt idx="13">
                  <c:v>0.13374999999999998</c:v>
                </c:pt>
                <c:pt idx="14">
                  <c:v>7.5504032258064513E-2</c:v>
                </c:pt>
                <c:pt idx="15">
                  <c:v>7.8020833333333331E-2</c:v>
                </c:pt>
                <c:pt idx="16">
                  <c:v>7.5504032258064513E-2</c:v>
                </c:pt>
                <c:pt idx="17">
                  <c:v>7.5504032258064513E-2</c:v>
                </c:pt>
                <c:pt idx="18">
                  <c:v>0.60187499999999994</c:v>
                </c:pt>
                <c:pt idx="19">
                  <c:v>1.0246975806451613</c:v>
                </c:pt>
                <c:pt idx="20">
                  <c:v>0.92510416666666662</c:v>
                </c:pt>
                <c:pt idx="21">
                  <c:v>1.5424395161290319</c:v>
                </c:pt>
                <c:pt idx="22">
                  <c:v>0.90604838709677415</c:v>
                </c:pt>
                <c:pt idx="23">
                  <c:v>0.7762276785714286</c:v>
                </c:pt>
                <c:pt idx="24">
                  <c:v>0.66874999999999996</c:v>
                </c:pt>
                <c:pt idx="25">
                  <c:v>0.16718749999999999</c:v>
                </c:pt>
                <c:pt idx="26">
                  <c:v>9.7076612903225806E-2</c:v>
                </c:pt>
                <c:pt idx="27">
                  <c:v>8.9166666666666658E-2</c:v>
                </c:pt>
                <c:pt idx="28">
                  <c:v>8.629032258064516E-2</c:v>
                </c:pt>
                <c:pt idx="29">
                  <c:v>0.31280241935483866</c:v>
                </c:pt>
                <c:pt idx="30">
                  <c:v>0.45697916666666666</c:v>
                </c:pt>
                <c:pt idx="31">
                  <c:v>0.62560483870967731</c:v>
                </c:pt>
                <c:pt idx="32">
                  <c:v>0.95854166666666663</c:v>
                </c:pt>
                <c:pt idx="33">
                  <c:v>0.92762096774193536</c:v>
                </c:pt>
                <c:pt idx="34">
                  <c:v>1.0894153225806449</c:v>
                </c:pt>
                <c:pt idx="35">
                  <c:v>0.94341517857142865</c:v>
                </c:pt>
                <c:pt idx="36">
                  <c:v>0.40987903225806455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2DD-4E6D-BEDD-C312A45F0571}"/>
            </c:ext>
          </c:extLst>
        </c:ser>
        <c:ser>
          <c:idx val="1"/>
          <c:order val="1"/>
          <c:tx>
            <c:strRef>
              <c:f>kratky!$F$4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kratky!$A$5:$A$41</c:f>
              <c:numCache>
                <c:formatCode>mmm/yy</c:formatCode>
                <c:ptCount val="3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</c:numCache>
            </c:numRef>
          </c:xVal>
          <c:yVal>
            <c:numRef>
              <c:f>kratky!$F$5:$F$41</c:f>
              <c:numCache>
                <c:formatCode>General</c:formatCode>
                <c:ptCount val="37"/>
                <c:pt idx="0">
                  <c:v>0.61250000000000027</c:v>
                </c:pt>
                <c:pt idx="1">
                  <c:v>0.29761290322580575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7.0000000000000007E-2</c:v>
                </c:pt>
                <c:pt idx="5">
                  <c:v>0.27416666666666567</c:v>
                </c:pt>
                <c:pt idx="6">
                  <c:v>0.65393548387096745</c:v>
                </c:pt>
                <c:pt idx="7">
                  <c:v>0.77793333333333781</c:v>
                </c:pt>
                <c:pt idx="8">
                  <c:v>0.91677419354838618</c:v>
                </c:pt>
                <c:pt idx="9">
                  <c:v>1.2778387096774186</c:v>
                </c:pt>
                <c:pt idx="10">
                  <c:v>1.0217586206896545</c:v>
                </c:pt>
                <c:pt idx="11">
                  <c:v>0.9517741935483881</c:v>
                </c:pt>
                <c:pt idx="12">
                  <c:v>0.62813333333333388</c:v>
                </c:pt>
                <c:pt idx="13">
                  <c:v>0.23619354838709761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7.0000000000000007E-2</c:v>
                </c:pt>
                <c:pt idx="17">
                  <c:v>7.0000000000000007E-2</c:v>
                </c:pt>
                <c:pt idx="18">
                  <c:v>0.67019354838710132</c:v>
                </c:pt>
                <c:pt idx="19">
                  <c:v>1.0296999999999983</c:v>
                </c:pt>
                <c:pt idx="20">
                  <c:v>1.222516129032255</c:v>
                </c:pt>
                <c:pt idx="21">
                  <c:v>1.5815483870967757</c:v>
                </c:pt>
                <c:pt idx="22">
                  <c:v>1.0992500000000018</c:v>
                </c:pt>
                <c:pt idx="23">
                  <c:v>0.7316129032258043</c:v>
                </c:pt>
                <c:pt idx="24">
                  <c:v>0.69463333333333299</c:v>
                </c:pt>
                <c:pt idx="25">
                  <c:v>0.20367741935483827</c:v>
                </c:pt>
                <c:pt idx="26">
                  <c:v>7.0000000000000007E-2</c:v>
                </c:pt>
                <c:pt idx="27">
                  <c:v>7.0000000000000007E-2</c:v>
                </c:pt>
                <c:pt idx="28">
                  <c:v>7.0000000000000007E-2</c:v>
                </c:pt>
                <c:pt idx="29">
                  <c:v>0.34953333333331899</c:v>
                </c:pt>
                <c:pt idx="30">
                  <c:v>0.50332258064515645</c:v>
                </c:pt>
                <c:pt idx="31">
                  <c:v>0.93753333333332756</c:v>
                </c:pt>
                <c:pt idx="32">
                  <c:v>1.1003548387096675</c:v>
                </c:pt>
                <c:pt idx="33">
                  <c:v>1.0326129032258089</c:v>
                </c:pt>
                <c:pt idx="34">
                  <c:v>1.4385000000000037</c:v>
                </c:pt>
                <c:pt idx="35">
                  <c:v>1.0931290322580574</c:v>
                </c:pt>
                <c:pt idx="36">
                  <c:v>0.2804666666666642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2DD-4E6D-BEDD-C312A45F0571}"/>
            </c:ext>
          </c:extLst>
        </c:ser>
        <c:axId val="147442688"/>
        <c:axId val="147481344"/>
      </c:scatterChart>
      <c:valAx>
        <c:axId val="147442688"/>
        <c:scaling>
          <c:orientation val="minMax"/>
        </c:scaling>
        <c:axPos val="b"/>
        <c:majorGridlines/>
        <c:minorGridlines/>
        <c:numFmt formatCode="mmm/yy" sourceLinked="1"/>
        <c:tickLblPos val="nextTo"/>
        <c:crossAx val="147481344"/>
        <c:crosses val="autoZero"/>
        <c:crossBetween val="midCat"/>
        <c:majorUnit val="180"/>
        <c:minorUnit val="30"/>
      </c:valAx>
      <c:valAx>
        <c:axId val="147481344"/>
        <c:scaling>
          <c:orientation val="minMax"/>
        </c:scaling>
        <c:axPos val="l"/>
        <c:majorGridlines/>
        <c:numFmt formatCode="General" sourceLinked="1"/>
        <c:tickLblPos val="nextTo"/>
        <c:crossAx val="14744268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Viadrus K4 - činžovní dům z 50.let 52m2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'K4-55m2'!$D$4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'K4-55m2'!$A$5:$A$13</c:f>
              <c:numCache>
                <c:formatCode>dd/mm/yy;@</c:formatCode>
                <c:ptCount val="9"/>
                <c:pt idx="0">
                  <c:v>44001</c:v>
                </c:pt>
                <c:pt idx="1">
                  <c:v>44031</c:v>
                </c:pt>
                <c:pt idx="2">
                  <c:v>44062</c:v>
                </c:pt>
                <c:pt idx="3">
                  <c:v>44095</c:v>
                </c:pt>
                <c:pt idx="4">
                  <c:v>44107</c:v>
                </c:pt>
                <c:pt idx="5">
                  <c:v>44155</c:v>
                </c:pt>
                <c:pt idx="6">
                  <c:v>44184</c:v>
                </c:pt>
                <c:pt idx="7">
                  <c:v>44215</c:v>
                </c:pt>
                <c:pt idx="8">
                  <c:v>44246</c:v>
                </c:pt>
              </c:numCache>
            </c:numRef>
          </c:xVal>
          <c:yVal>
            <c:numRef>
              <c:f>'K4-55m2'!$D$5:$D$13</c:f>
              <c:numCache>
                <c:formatCode>General</c:formatCode>
                <c:ptCount val="9"/>
                <c:pt idx="0">
                  <c:v>0.41747090277777776</c:v>
                </c:pt>
                <c:pt idx="1">
                  <c:v>0.28236111111111112</c:v>
                </c:pt>
                <c:pt idx="2">
                  <c:v>0.21035902777777779</c:v>
                </c:pt>
                <c:pt idx="3">
                  <c:v>0.2384539583333333</c:v>
                </c:pt>
                <c:pt idx="4">
                  <c:v>0.61512368055555544</c:v>
                </c:pt>
                <c:pt idx="5">
                  <c:v>0.99786416666666677</c:v>
                </c:pt>
                <c:pt idx="6">
                  <c:v>1.7543095833333331</c:v>
                </c:pt>
                <c:pt idx="7">
                  <c:v>1.9491387499999997</c:v>
                </c:pt>
                <c:pt idx="8">
                  <c:v>2.2024166666666662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162-4136-8D1A-12AC4E94413F}"/>
            </c:ext>
          </c:extLst>
        </c:ser>
        <c:ser>
          <c:idx val="1"/>
          <c:order val="1"/>
          <c:tx>
            <c:strRef>
              <c:f>'K4-55m2'!$E$4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'K4-55m2'!$A$5:$A$13</c:f>
              <c:numCache>
                <c:formatCode>dd/mm/yy;@</c:formatCode>
                <c:ptCount val="9"/>
                <c:pt idx="0">
                  <c:v>44001</c:v>
                </c:pt>
                <c:pt idx="1">
                  <c:v>44031</c:v>
                </c:pt>
                <c:pt idx="2">
                  <c:v>44062</c:v>
                </c:pt>
                <c:pt idx="3">
                  <c:v>44095</c:v>
                </c:pt>
                <c:pt idx="4">
                  <c:v>44107</c:v>
                </c:pt>
                <c:pt idx="5">
                  <c:v>44155</c:v>
                </c:pt>
                <c:pt idx="6">
                  <c:v>44184</c:v>
                </c:pt>
                <c:pt idx="7">
                  <c:v>44215</c:v>
                </c:pt>
                <c:pt idx="8">
                  <c:v>44246</c:v>
                </c:pt>
              </c:numCache>
            </c:numRef>
          </c:xVal>
          <c:yVal>
            <c:numRef>
              <c:f>'K4-55m2'!$E$5:$E$13</c:f>
              <c:numCache>
                <c:formatCode>General</c:formatCode>
                <c:ptCount val="9"/>
                <c:pt idx="0">
                  <c:v>0.42133333333333345</c:v>
                </c:pt>
                <c:pt idx="1">
                  <c:v>0.24</c:v>
                </c:pt>
                <c:pt idx="2">
                  <c:v>0.24</c:v>
                </c:pt>
                <c:pt idx="3">
                  <c:v>0.24</c:v>
                </c:pt>
                <c:pt idx="4">
                  <c:v>0.56866666666674237</c:v>
                </c:pt>
                <c:pt idx="5">
                  <c:v>1.056944444444424</c:v>
                </c:pt>
                <c:pt idx="6">
                  <c:v>1.7832873563218419</c:v>
                </c:pt>
                <c:pt idx="7">
                  <c:v>1.939634408602132</c:v>
                </c:pt>
                <c:pt idx="8">
                  <c:v>2.1381505376344272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A162-4136-8D1A-12AC4E94413F}"/>
            </c:ext>
          </c:extLst>
        </c:ser>
        <c:axId val="147547264"/>
        <c:axId val="147548800"/>
      </c:scatterChart>
      <c:valAx>
        <c:axId val="147547264"/>
        <c:scaling>
          <c:orientation val="minMax"/>
        </c:scaling>
        <c:axPos val="b"/>
        <c:majorGridlines/>
        <c:numFmt formatCode="dd/mm/yy;@" sourceLinked="1"/>
        <c:tickLblPos val="nextTo"/>
        <c:crossAx val="147548800"/>
        <c:crosses val="autoZero"/>
        <c:crossBetween val="midCat"/>
        <c:majorUnit val="30.5"/>
      </c:valAx>
      <c:valAx>
        <c:axId val="147548800"/>
        <c:scaling>
          <c:orientation val="minMax"/>
        </c:scaling>
        <c:axPos val="l"/>
        <c:majorGridlines/>
        <c:numFmt formatCode="General" sourceLinked="1"/>
        <c:tickLblPos val="nextTo"/>
        <c:crossAx val="147547264"/>
        <c:crosses val="autoZero"/>
        <c:crossBetween val="midCat"/>
        <c:majorUnit val="0.2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vicen!$J$7</c:f>
              <c:strCache>
                <c:ptCount val="1"/>
                <c:pt idx="0">
                  <c:v>Kbely</c:v>
                </c:pt>
              </c:strCache>
            </c:strRef>
          </c:tx>
          <c:marker>
            <c:symbol val="none"/>
          </c:marker>
          <c:xVal>
            <c:numRef>
              <c:f>vicen!$A$9:$A$85</c:f>
              <c:numCache>
                <c:formatCode>dd/mm/yyyy</c:formatCode>
                <c:ptCount val="77"/>
                <c:pt idx="0">
                  <c:v>43439</c:v>
                </c:pt>
                <c:pt idx="1">
                  <c:v>43440</c:v>
                </c:pt>
                <c:pt idx="2">
                  <c:v>43441</c:v>
                </c:pt>
                <c:pt idx="3">
                  <c:v>43442</c:v>
                </c:pt>
                <c:pt idx="4">
                  <c:v>43443</c:v>
                </c:pt>
                <c:pt idx="5">
                  <c:v>43444</c:v>
                </c:pt>
                <c:pt idx="6">
                  <c:v>43445</c:v>
                </c:pt>
                <c:pt idx="7">
                  <c:v>43446</c:v>
                </c:pt>
                <c:pt idx="8">
                  <c:v>43447</c:v>
                </c:pt>
                <c:pt idx="9">
                  <c:v>43448</c:v>
                </c:pt>
                <c:pt idx="10">
                  <c:v>43449</c:v>
                </c:pt>
                <c:pt idx="11">
                  <c:v>43450</c:v>
                </c:pt>
                <c:pt idx="12">
                  <c:v>43451</c:v>
                </c:pt>
                <c:pt idx="13">
                  <c:v>43452</c:v>
                </c:pt>
                <c:pt idx="14">
                  <c:v>43453</c:v>
                </c:pt>
                <c:pt idx="15">
                  <c:v>43454</c:v>
                </c:pt>
                <c:pt idx="16">
                  <c:v>43455</c:v>
                </c:pt>
                <c:pt idx="17">
                  <c:v>43456</c:v>
                </c:pt>
                <c:pt idx="18">
                  <c:v>43457</c:v>
                </c:pt>
                <c:pt idx="19">
                  <c:v>43458</c:v>
                </c:pt>
                <c:pt idx="20">
                  <c:v>43459</c:v>
                </c:pt>
                <c:pt idx="21">
                  <c:v>43460</c:v>
                </c:pt>
                <c:pt idx="22">
                  <c:v>43461</c:v>
                </c:pt>
                <c:pt idx="23">
                  <c:v>43462</c:v>
                </c:pt>
                <c:pt idx="24">
                  <c:v>43463</c:v>
                </c:pt>
                <c:pt idx="25">
                  <c:v>43464</c:v>
                </c:pt>
                <c:pt idx="26">
                  <c:v>43465</c:v>
                </c:pt>
                <c:pt idx="27">
                  <c:v>43466</c:v>
                </c:pt>
                <c:pt idx="28">
                  <c:v>43467</c:v>
                </c:pt>
                <c:pt idx="29">
                  <c:v>43468</c:v>
                </c:pt>
                <c:pt idx="30">
                  <c:v>43469</c:v>
                </c:pt>
                <c:pt idx="31">
                  <c:v>43470</c:v>
                </c:pt>
                <c:pt idx="32">
                  <c:v>43471</c:v>
                </c:pt>
                <c:pt idx="33">
                  <c:v>43472</c:v>
                </c:pt>
                <c:pt idx="34">
                  <c:v>43473</c:v>
                </c:pt>
                <c:pt idx="35">
                  <c:v>43474</c:v>
                </c:pt>
                <c:pt idx="36">
                  <c:v>43475</c:v>
                </c:pt>
                <c:pt idx="37">
                  <c:v>43476</c:v>
                </c:pt>
                <c:pt idx="38">
                  <c:v>43477</c:v>
                </c:pt>
                <c:pt idx="39">
                  <c:v>43478</c:v>
                </c:pt>
                <c:pt idx="40">
                  <c:v>43479</c:v>
                </c:pt>
                <c:pt idx="41">
                  <c:v>43480</c:v>
                </c:pt>
                <c:pt idx="42">
                  <c:v>43481</c:v>
                </c:pt>
                <c:pt idx="43">
                  <c:v>43482</c:v>
                </c:pt>
                <c:pt idx="44">
                  <c:v>43483</c:v>
                </c:pt>
                <c:pt idx="45">
                  <c:v>43484</c:v>
                </c:pt>
                <c:pt idx="46">
                  <c:v>43485</c:v>
                </c:pt>
                <c:pt idx="47">
                  <c:v>43486</c:v>
                </c:pt>
                <c:pt idx="48">
                  <c:v>43487</c:v>
                </c:pt>
                <c:pt idx="49">
                  <c:v>43488</c:v>
                </c:pt>
                <c:pt idx="50">
                  <c:v>43489</c:v>
                </c:pt>
                <c:pt idx="51">
                  <c:v>43490</c:v>
                </c:pt>
                <c:pt idx="52">
                  <c:v>43491</c:v>
                </c:pt>
                <c:pt idx="53">
                  <c:v>43492</c:v>
                </c:pt>
                <c:pt idx="54">
                  <c:v>43493</c:v>
                </c:pt>
                <c:pt idx="55">
                  <c:v>43494</c:v>
                </c:pt>
                <c:pt idx="56">
                  <c:v>43495</c:v>
                </c:pt>
                <c:pt idx="57">
                  <c:v>43496</c:v>
                </c:pt>
                <c:pt idx="58">
                  <c:v>43497</c:v>
                </c:pt>
                <c:pt idx="59">
                  <c:v>43498</c:v>
                </c:pt>
                <c:pt idx="60">
                  <c:v>43499</c:v>
                </c:pt>
                <c:pt idx="61">
                  <c:v>43500</c:v>
                </c:pt>
                <c:pt idx="62">
                  <c:v>43501</c:v>
                </c:pt>
                <c:pt idx="63">
                  <c:v>43502</c:v>
                </c:pt>
                <c:pt idx="64">
                  <c:v>43503</c:v>
                </c:pt>
                <c:pt idx="65">
                  <c:v>43504</c:v>
                </c:pt>
                <c:pt idx="66">
                  <c:v>43505</c:v>
                </c:pt>
                <c:pt idx="67">
                  <c:v>43506</c:v>
                </c:pt>
                <c:pt idx="68">
                  <c:v>43507</c:v>
                </c:pt>
                <c:pt idx="69">
                  <c:v>43508</c:v>
                </c:pt>
                <c:pt idx="70">
                  <c:v>43509</c:v>
                </c:pt>
                <c:pt idx="71">
                  <c:v>43510</c:v>
                </c:pt>
                <c:pt idx="72">
                  <c:v>43511</c:v>
                </c:pt>
                <c:pt idx="73">
                  <c:v>43512</c:v>
                </c:pt>
                <c:pt idx="74">
                  <c:v>43513</c:v>
                </c:pt>
                <c:pt idx="75">
                  <c:v>43514</c:v>
                </c:pt>
                <c:pt idx="76">
                  <c:v>43515</c:v>
                </c:pt>
              </c:numCache>
            </c:numRef>
          </c:xVal>
          <c:yVal>
            <c:numRef>
              <c:f>vicen!$J$9:$J$85</c:f>
              <c:numCache>
                <c:formatCode>General</c:formatCode>
                <c:ptCount val="77"/>
                <c:pt idx="0">
                  <c:v>0.60000000000000142</c:v>
                </c:pt>
                <c:pt idx="1">
                  <c:v>1</c:v>
                </c:pt>
                <c:pt idx="2">
                  <c:v>8.8000000000000007</c:v>
                </c:pt>
                <c:pt idx="3">
                  <c:v>6.8000000000000007</c:v>
                </c:pt>
                <c:pt idx="4">
                  <c:v>7.3999999999999986</c:v>
                </c:pt>
                <c:pt idx="5">
                  <c:v>3.6999999999999993</c:v>
                </c:pt>
                <c:pt idx="6">
                  <c:v>2.3000000000000007</c:v>
                </c:pt>
                <c:pt idx="7">
                  <c:v>1.1000000000000014</c:v>
                </c:pt>
                <c:pt idx="8">
                  <c:v>-2.5</c:v>
                </c:pt>
                <c:pt idx="9">
                  <c:v>-2.5</c:v>
                </c:pt>
                <c:pt idx="10">
                  <c:v>-1.6000000000000014</c:v>
                </c:pt>
                <c:pt idx="11">
                  <c:v>-2.5</c:v>
                </c:pt>
                <c:pt idx="12">
                  <c:v>0.80000000000000071</c:v>
                </c:pt>
                <c:pt idx="13">
                  <c:v>1.6000000000000014</c:v>
                </c:pt>
                <c:pt idx="14">
                  <c:v>0.10000000000000142</c:v>
                </c:pt>
                <c:pt idx="15">
                  <c:v>0.80000000000000071</c:v>
                </c:pt>
                <c:pt idx="16">
                  <c:v>5.8999999999999986</c:v>
                </c:pt>
                <c:pt idx="17">
                  <c:v>9.3000000000000007</c:v>
                </c:pt>
                <c:pt idx="18">
                  <c:v>6.6000000000000014</c:v>
                </c:pt>
                <c:pt idx="19">
                  <c:v>2.3000000000000007</c:v>
                </c:pt>
                <c:pt idx="20">
                  <c:v>2.8999999999999986</c:v>
                </c:pt>
                <c:pt idx="21">
                  <c:v>3.1999999999999993</c:v>
                </c:pt>
                <c:pt idx="22">
                  <c:v>4.8000000000000007</c:v>
                </c:pt>
                <c:pt idx="23">
                  <c:v>4.3999999999999986</c:v>
                </c:pt>
                <c:pt idx="24">
                  <c:v>3.8000000000000007</c:v>
                </c:pt>
                <c:pt idx="25">
                  <c:v>4.8000000000000007</c:v>
                </c:pt>
                <c:pt idx="26">
                  <c:v>4.6000000000000014</c:v>
                </c:pt>
                <c:pt idx="27">
                  <c:v>6</c:v>
                </c:pt>
                <c:pt idx="28">
                  <c:v>0.60000000000000142</c:v>
                </c:pt>
                <c:pt idx="29">
                  <c:v>-2.2000000000000028</c:v>
                </c:pt>
                <c:pt idx="30">
                  <c:v>-1.3999999999999986</c:v>
                </c:pt>
                <c:pt idx="31">
                  <c:v>4.3000000000000007</c:v>
                </c:pt>
                <c:pt idx="32">
                  <c:v>0.89999999999999858</c:v>
                </c:pt>
                <c:pt idx="33">
                  <c:v>1</c:v>
                </c:pt>
                <c:pt idx="34">
                  <c:v>3.6000000000000014</c:v>
                </c:pt>
                <c:pt idx="35">
                  <c:v>1.1000000000000014</c:v>
                </c:pt>
                <c:pt idx="36">
                  <c:v>0.19999999999999929</c:v>
                </c:pt>
                <c:pt idx="37">
                  <c:v>-2.5</c:v>
                </c:pt>
                <c:pt idx="38">
                  <c:v>2.5</c:v>
                </c:pt>
                <c:pt idx="39">
                  <c:v>4.3000000000000007</c:v>
                </c:pt>
                <c:pt idx="40">
                  <c:v>2.1999999999999993</c:v>
                </c:pt>
                <c:pt idx="41">
                  <c:v>2.1999999999999993</c:v>
                </c:pt>
                <c:pt idx="42">
                  <c:v>4.1000000000000014</c:v>
                </c:pt>
                <c:pt idx="43">
                  <c:v>5.3999999999999986</c:v>
                </c:pt>
                <c:pt idx="44">
                  <c:v>-0.89999999999999858</c:v>
                </c:pt>
                <c:pt idx="45">
                  <c:v>-4.7000000000000028</c:v>
                </c:pt>
                <c:pt idx="46">
                  <c:v>-3.2000000000000028</c:v>
                </c:pt>
                <c:pt idx="47">
                  <c:v>-5.2000000000000028</c:v>
                </c:pt>
                <c:pt idx="48">
                  <c:v>-5.6000000000000014</c:v>
                </c:pt>
                <c:pt idx="49">
                  <c:v>-6.3999999999999986</c:v>
                </c:pt>
                <c:pt idx="50">
                  <c:v>-4.3999999999999986</c:v>
                </c:pt>
                <c:pt idx="51">
                  <c:v>-3.7000000000000028</c:v>
                </c:pt>
                <c:pt idx="52">
                  <c:v>0.5</c:v>
                </c:pt>
                <c:pt idx="53">
                  <c:v>3.8000000000000007</c:v>
                </c:pt>
                <c:pt idx="54">
                  <c:v>3</c:v>
                </c:pt>
                <c:pt idx="55">
                  <c:v>1.3000000000000007</c:v>
                </c:pt>
                <c:pt idx="56">
                  <c:v>-1.6000000000000014</c:v>
                </c:pt>
                <c:pt idx="57">
                  <c:v>-0.19999999999999929</c:v>
                </c:pt>
                <c:pt idx="58">
                  <c:v>0.60000000000000142</c:v>
                </c:pt>
                <c:pt idx="59">
                  <c:v>2.6000000000000014</c:v>
                </c:pt>
                <c:pt idx="60">
                  <c:v>0.30000000000000071</c:v>
                </c:pt>
                <c:pt idx="61">
                  <c:v>-1.1000000000000014</c:v>
                </c:pt>
                <c:pt idx="62">
                  <c:v>-3.3999999999999986</c:v>
                </c:pt>
                <c:pt idx="63">
                  <c:v>-1.1000000000000014</c:v>
                </c:pt>
                <c:pt idx="64">
                  <c:v>-2.3999999999999986</c:v>
                </c:pt>
                <c:pt idx="65">
                  <c:v>2.5</c:v>
                </c:pt>
                <c:pt idx="66">
                  <c:v>4.5</c:v>
                </c:pt>
                <c:pt idx="67">
                  <c:v>5.5</c:v>
                </c:pt>
                <c:pt idx="68">
                  <c:v>4.1999999999999993</c:v>
                </c:pt>
                <c:pt idx="69">
                  <c:v>1.6999999999999993</c:v>
                </c:pt>
                <c:pt idx="70">
                  <c:v>4.5</c:v>
                </c:pt>
                <c:pt idx="71">
                  <c:v>4.8999999999999986</c:v>
                </c:pt>
                <c:pt idx="72">
                  <c:v>3.3999999999999986</c:v>
                </c:pt>
                <c:pt idx="73">
                  <c:v>0.89999999999999858</c:v>
                </c:pt>
                <c:pt idx="74">
                  <c:v>2.1999999999999993</c:v>
                </c:pt>
                <c:pt idx="75">
                  <c:v>1.8000000000000007</c:v>
                </c:pt>
                <c:pt idx="76">
                  <c:v>4.5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322-4C30-906E-5B670A8E7EA2}"/>
            </c:ext>
          </c:extLst>
        </c:ser>
        <c:ser>
          <c:idx val="1"/>
          <c:order val="1"/>
          <c:tx>
            <c:strRef>
              <c:f>vicen!$K$7</c:f>
              <c:strCache>
                <c:ptCount val="1"/>
                <c:pt idx="0">
                  <c:v>Vicen</c:v>
                </c:pt>
              </c:strCache>
            </c:strRef>
          </c:tx>
          <c:marker>
            <c:symbol val="none"/>
          </c:marker>
          <c:xVal>
            <c:numRef>
              <c:f>vicen!$A$9:$A$85</c:f>
              <c:numCache>
                <c:formatCode>dd/mm/yyyy</c:formatCode>
                <c:ptCount val="77"/>
                <c:pt idx="0">
                  <c:v>43439</c:v>
                </c:pt>
                <c:pt idx="1">
                  <c:v>43440</c:v>
                </c:pt>
                <c:pt idx="2">
                  <c:v>43441</c:v>
                </c:pt>
                <c:pt idx="3">
                  <c:v>43442</c:v>
                </c:pt>
                <c:pt idx="4">
                  <c:v>43443</c:v>
                </c:pt>
                <c:pt idx="5">
                  <c:v>43444</c:v>
                </c:pt>
                <c:pt idx="6">
                  <c:v>43445</c:v>
                </c:pt>
                <c:pt idx="7">
                  <c:v>43446</c:v>
                </c:pt>
                <c:pt idx="8">
                  <c:v>43447</c:v>
                </c:pt>
                <c:pt idx="9">
                  <c:v>43448</c:v>
                </c:pt>
                <c:pt idx="10">
                  <c:v>43449</c:v>
                </c:pt>
                <c:pt idx="11">
                  <c:v>43450</c:v>
                </c:pt>
                <c:pt idx="12">
                  <c:v>43451</c:v>
                </c:pt>
                <c:pt idx="13">
                  <c:v>43452</c:v>
                </c:pt>
                <c:pt idx="14">
                  <c:v>43453</c:v>
                </c:pt>
                <c:pt idx="15">
                  <c:v>43454</c:v>
                </c:pt>
                <c:pt idx="16">
                  <c:v>43455</c:v>
                </c:pt>
                <c:pt idx="17">
                  <c:v>43456</c:v>
                </c:pt>
                <c:pt idx="18">
                  <c:v>43457</c:v>
                </c:pt>
                <c:pt idx="19">
                  <c:v>43458</c:v>
                </c:pt>
                <c:pt idx="20">
                  <c:v>43459</c:v>
                </c:pt>
                <c:pt idx="21">
                  <c:v>43460</c:v>
                </c:pt>
                <c:pt idx="22">
                  <c:v>43461</c:v>
                </c:pt>
                <c:pt idx="23">
                  <c:v>43462</c:v>
                </c:pt>
                <c:pt idx="24">
                  <c:v>43463</c:v>
                </c:pt>
                <c:pt idx="25">
                  <c:v>43464</c:v>
                </c:pt>
                <c:pt idx="26">
                  <c:v>43465</c:v>
                </c:pt>
                <c:pt idx="27">
                  <c:v>43466</c:v>
                </c:pt>
                <c:pt idx="28">
                  <c:v>43467</c:v>
                </c:pt>
                <c:pt idx="29">
                  <c:v>43468</c:v>
                </c:pt>
                <c:pt idx="30">
                  <c:v>43469</c:v>
                </c:pt>
                <c:pt idx="31">
                  <c:v>43470</c:v>
                </c:pt>
                <c:pt idx="32">
                  <c:v>43471</c:v>
                </c:pt>
                <c:pt idx="33">
                  <c:v>43472</c:v>
                </c:pt>
                <c:pt idx="34">
                  <c:v>43473</c:v>
                </c:pt>
                <c:pt idx="35">
                  <c:v>43474</c:v>
                </c:pt>
                <c:pt idx="36">
                  <c:v>43475</c:v>
                </c:pt>
                <c:pt idx="37">
                  <c:v>43476</c:v>
                </c:pt>
                <c:pt idx="38">
                  <c:v>43477</c:v>
                </c:pt>
                <c:pt idx="39">
                  <c:v>43478</c:v>
                </c:pt>
                <c:pt idx="40">
                  <c:v>43479</c:v>
                </c:pt>
                <c:pt idx="41">
                  <c:v>43480</c:v>
                </c:pt>
                <c:pt idx="42">
                  <c:v>43481</c:v>
                </c:pt>
                <c:pt idx="43">
                  <c:v>43482</c:v>
                </c:pt>
                <c:pt idx="44">
                  <c:v>43483</c:v>
                </c:pt>
                <c:pt idx="45">
                  <c:v>43484</c:v>
                </c:pt>
                <c:pt idx="46">
                  <c:v>43485</c:v>
                </c:pt>
                <c:pt idx="47">
                  <c:v>43486</c:v>
                </c:pt>
                <c:pt idx="48">
                  <c:v>43487</c:v>
                </c:pt>
                <c:pt idx="49">
                  <c:v>43488</c:v>
                </c:pt>
                <c:pt idx="50">
                  <c:v>43489</c:v>
                </c:pt>
                <c:pt idx="51">
                  <c:v>43490</c:v>
                </c:pt>
                <c:pt idx="52">
                  <c:v>43491</c:v>
                </c:pt>
                <c:pt idx="53">
                  <c:v>43492</c:v>
                </c:pt>
                <c:pt idx="54">
                  <c:v>43493</c:v>
                </c:pt>
                <c:pt idx="55">
                  <c:v>43494</c:v>
                </c:pt>
                <c:pt idx="56">
                  <c:v>43495</c:v>
                </c:pt>
                <c:pt idx="57">
                  <c:v>43496</c:v>
                </c:pt>
                <c:pt idx="58">
                  <c:v>43497</c:v>
                </c:pt>
                <c:pt idx="59">
                  <c:v>43498</c:v>
                </c:pt>
                <c:pt idx="60">
                  <c:v>43499</c:v>
                </c:pt>
                <c:pt idx="61">
                  <c:v>43500</c:v>
                </c:pt>
                <c:pt idx="62">
                  <c:v>43501</c:v>
                </c:pt>
                <c:pt idx="63">
                  <c:v>43502</c:v>
                </c:pt>
                <c:pt idx="64">
                  <c:v>43503</c:v>
                </c:pt>
                <c:pt idx="65">
                  <c:v>43504</c:v>
                </c:pt>
                <c:pt idx="66">
                  <c:v>43505</c:v>
                </c:pt>
                <c:pt idx="67">
                  <c:v>43506</c:v>
                </c:pt>
                <c:pt idx="68">
                  <c:v>43507</c:v>
                </c:pt>
                <c:pt idx="69">
                  <c:v>43508</c:v>
                </c:pt>
                <c:pt idx="70">
                  <c:v>43509</c:v>
                </c:pt>
                <c:pt idx="71">
                  <c:v>43510</c:v>
                </c:pt>
                <c:pt idx="72">
                  <c:v>43511</c:v>
                </c:pt>
                <c:pt idx="73">
                  <c:v>43512</c:v>
                </c:pt>
                <c:pt idx="74">
                  <c:v>43513</c:v>
                </c:pt>
                <c:pt idx="75">
                  <c:v>43514</c:v>
                </c:pt>
                <c:pt idx="76">
                  <c:v>43515</c:v>
                </c:pt>
              </c:numCache>
            </c:numRef>
          </c:xVal>
          <c:yVal>
            <c:numRef>
              <c:f>vicen!$K$9:$K$85</c:f>
              <c:numCache>
                <c:formatCode>General</c:formatCode>
                <c:ptCount val="77"/>
                <c:pt idx="0">
                  <c:v>-0.85000000000000009</c:v>
                </c:pt>
                <c:pt idx="1">
                  <c:v>4.9999999999999989E-2</c:v>
                </c:pt>
                <c:pt idx="2">
                  <c:v>5.0999999999999996</c:v>
                </c:pt>
                <c:pt idx="3">
                  <c:v>6.3</c:v>
                </c:pt>
                <c:pt idx="4">
                  <c:v>7.55</c:v>
                </c:pt>
                <c:pt idx="5">
                  <c:v>3.8000000000000003</c:v>
                </c:pt>
                <c:pt idx="6">
                  <c:v>2.2999999999999998</c:v>
                </c:pt>
                <c:pt idx="7">
                  <c:v>2.2000000000000002</c:v>
                </c:pt>
                <c:pt idx="8">
                  <c:v>0.5</c:v>
                </c:pt>
                <c:pt idx="9">
                  <c:v>-1.4</c:v>
                </c:pt>
                <c:pt idx="10">
                  <c:v>0.19999999999999996</c:v>
                </c:pt>
                <c:pt idx="11">
                  <c:v>-0.7</c:v>
                </c:pt>
                <c:pt idx="12">
                  <c:v>-0.8</c:v>
                </c:pt>
                <c:pt idx="13">
                  <c:v>0.6</c:v>
                </c:pt>
                <c:pt idx="14">
                  <c:v>-2.7</c:v>
                </c:pt>
                <c:pt idx="15">
                  <c:v>0.10000000000000009</c:v>
                </c:pt>
                <c:pt idx="16">
                  <c:v>4.5999999999999996</c:v>
                </c:pt>
                <c:pt idx="17">
                  <c:v>6.4833333333333334</c:v>
                </c:pt>
                <c:pt idx="18">
                  <c:v>6.4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1.9583333333333333</c:v>
                </c:pt>
                <c:pt idx="22">
                  <c:v>4.7</c:v>
                </c:pt>
                <c:pt idx="23">
                  <c:v>5.2</c:v>
                </c:pt>
                <c:pt idx="24">
                  <c:v>4.7</c:v>
                </c:pt>
                <c:pt idx="25">
                  <c:v>3.8083333333333331</c:v>
                </c:pt>
                <c:pt idx="26">
                  <c:v>2.2999999999999998</c:v>
                </c:pt>
                <c:pt idx="27">
                  <c:v>3.4083333333333332</c:v>
                </c:pt>
                <c:pt idx="28">
                  <c:v>0.65833333333333344</c:v>
                </c:pt>
                <c:pt idx="29">
                  <c:v>-1.7500000000000002</c:v>
                </c:pt>
                <c:pt idx="30">
                  <c:v>-1.0499999999999998</c:v>
                </c:pt>
                <c:pt idx="31">
                  <c:v>1.7</c:v>
                </c:pt>
                <c:pt idx="32">
                  <c:v>-2.4666666666666668</c:v>
                </c:pt>
                <c:pt idx="33">
                  <c:v>-7.5249999999999995</c:v>
                </c:pt>
                <c:pt idx="34">
                  <c:v>0</c:v>
                </c:pt>
                <c:pt idx="35">
                  <c:v>-0.39999999999999991</c:v>
                </c:pt>
                <c:pt idx="36">
                  <c:v>0.19999999999999996</c:v>
                </c:pt>
                <c:pt idx="37">
                  <c:v>-1.8333333333333333</c:v>
                </c:pt>
                <c:pt idx="38">
                  <c:v>1.7</c:v>
                </c:pt>
                <c:pt idx="39">
                  <c:v>3.041666666666667</c:v>
                </c:pt>
                <c:pt idx="40">
                  <c:v>-0.60000000000000009</c:v>
                </c:pt>
                <c:pt idx="41">
                  <c:v>1.3</c:v>
                </c:pt>
                <c:pt idx="42">
                  <c:v>4.8249999999999993</c:v>
                </c:pt>
                <c:pt idx="43">
                  <c:v>2.5833333333333335</c:v>
                </c:pt>
                <c:pt idx="44">
                  <c:v>1.3416666666666668</c:v>
                </c:pt>
                <c:pt idx="45">
                  <c:v>-4.1166666666666663</c:v>
                </c:pt>
                <c:pt idx="46">
                  <c:v>-1.8583333333333334</c:v>
                </c:pt>
                <c:pt idx="47">
                  <c:v>-3.8666666666666667</c:v>
                </c:pt>
                <c:pt idx="48">
                  <c:v>-4.25</c:v>
                </c:pt>
                <c:pt idx="49">
                  <c:v>-3.1166666666666667</c:v>
                </c:pt>
                <c:pt idx="50">
                  <c:v>-2.4</c:v>
                </c:pt>
                <c:pt idx="51">
                  <c:v>-1.9</c:v>
                </c:pt>
                <c:pt idx="52">
                  <c:v>-0.10000000000000009</c:v>
                </c:pt>
                <c:pt idx="53">
                  <c:v>3.0083333333333333</c:v>
                </c:pt>
                <c:pt idx="54">
                  <c:v>2.6</c:v>
                </c:pt>
                <c:pt idx="55">
                  <c:v>1.0166666666666666</c:v>
                </c:pt>
                <c:pt idx="56">
                  <c:v>-4.3083333333333336</c:v>
                </c:pt>
                <c:pt idx="57">
                  <c:v>-4.5250000000000004</c:v>
                </c:pt>
                <c:pt idx="58">
                  <c:v>1.7916666666666665</c:v>
                </c:pt>
                <c:pt idx="59">
                  <c:v>6.1833333333333336</c:v>
                </c:pt>
                <c:pt idx="60">
                  <c:v>6.1</c:v>
                </c:pt>
                <c:pt idx="61">
                  <c:v>1.4</c:v>
                </c:pt>
                <c:pt idx="62">
                  <c:v>-3.8833333333333333</c:v>
                </c:pt>
                <c:pt idx="63">
                  <c:v>-0.76666666666666661</c:v>
                </c:pt>
                <c:pt idx="64">
                  <c:v>-2.5083333333333333</c:v>
                </c:pt>
                <c:pt idx="65">
                  <c:v>2.2333333333333334</c:v>
                </c:pt>
                <c:pt idx="66">
                  <c:v>5.0999999999999996</c:v>
                </c:pt>
                <c:pt idx="67">
                  <c:v>5.25</c:v>
                </c:pt>
                <c:pt idx="68">
                  <c:v>3.9416666666666664</c:v>
                </c:pt>
                <c:pt idx="69">
                  <c:v>-0.45833333333333326</c:v>
                </c:pt>
                <c:pt idx="70">
                  <c:v>3.6</c:v>
                </c:pt>
                <c:pt idx="71">
                  <c:v>5.8</c:v>
                </c:pt>
                <c:pt idx="72">
                  <c:v>4.5583333333333327</c:v>
                </c:pt>
                <c:pt idx="73">
                  <c:v>1.75</c:v>
                </c:pt>
                <c:pt idx="74">
                  <c:v>1.1666666666666661</c:v>
                </c:pt>
                <c:pt idx="75">
                  <c:v>1.1999999999999993</c:v>
                </c:pt>
                <c:pt idx="76">
                  <c:v>1.3416666666666668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322-4C30-906E-5B670A8E7EA2}"/>
            </c:ext>
          </c:extLst>
        </c:ser>
        <c:axId val="147762560"/>
        <c:axId val="147768448"/>
      </c:scatterChart>
      <c:valAx>
        <c:axId val="147762560"/>
        <c:scaling>
          <c:orientation val="minMax"/>
        </c:scaling>
        <c:axPos val="b"/>
        <c:majorGridlines/>
        <c:minorGridlines/>
        <c:numFmt formatCode="dd/mm/yyyy" sourceLinked="1"/>
        <c:tickLblPos val="nextTo"/>
        <c:crossAx val="147768448"/>
        <c:crosses val="autoZero"/>
        <c:crossBetween val="midCat"/>
        <c:majorUnit val="7"/>
        <c:minorUnit val="1"/>
      </c:valAx>
      <c:valAx>
        <c:axId val="147768448"/>
        <c:scaling>
          <c:orientation val="minMax"/>
        </c:scaling>
        <c:axPos val="l"/>
        <c:majorGridlines/>
        <c:numFmt formatCode="General" sourceLinked="1"/>
        <c:tickLblPos val="nextTo"/>
        <c:crossAx val="14776256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100" b="0" i="0" baseline="0"/>
              <a:t>Výkon kotle v porovnání s TZ domu 2,9 kW /dT 30K  300W ohřev vody a  2,4 kW vycházejí sluneční zisky (cca 5 m2 oken)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vicen!$C$7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vicen!$A$8:$A$85</c:f>
              <c:numCache>
                <c:formatCode>dd/mm/yyyy</c:formatCode>
                <c:ptCount val="78"/>
                <c:pt idx="0">
                  <c:v>43438</c:v>
                </c:pt>
                <c:pt idx="1">
                  <c:v>43439</c:v>
                </c:pt>
                <c:pt idx="2">
                  <c:v>43440</c:v>
                </c:pt>
                <c:pt idx="3">
                  <c:v>43441</c:v>
                </c:pt>
                <c:pt idx="4">
                  <c:v>43442</c:v>
                </c:pt>
                <c:pt idx="5">
                  <c:v>43443</c:v>
                </c:pt>
                <c:pt idx="6">
                  <c:v>43444</c:v>
                </c:pt>
                <c:pt idx="7">
                  <c:v>43445</c:v>
                </c:pt>
                <c:pt idx="8">
                  <c:v>43446</c:v>
                </c:pt>
                <c:pt idx="9">
                  <c:v>43447</c:v>
                </c:pt>
                <c:pt idx="10">
                  <c:v>43448</c:v>
                </c:pt>
                <c:pt idx="11">
                  <c:v>43449</c:v>
                </c:pt>
                <c:pt idx="12">
                  <c:v>43450</c:v>
                </c:pt>
                <c:pt idx="13">
                  <c:v>43451</c:v>
                </c:pt>
                <c:pt idx="14">
                  <c:v>43452</c:v>
                </c:pt>
                <c:pt idx="15">
                  <c:v>43453</c:v>
                </c:pt>
                <c:pt idx="16">
                  <c:v>43454</c:v>
                </c:pt>
                <c:pt idx="17">
                  <c:v>43455</c:v>
                </c:pt>
                <c:pt idx="18">
                  <c:v>43456</c:v>
                </c:pt>
                <c:pt idx="19">
                  <c:v>43457</c:v>
                </c:pt>
                <c:pt idx="20">
                  <c:v>43458</c:v>
                </c:pt>
                <c:pt idx="21">
                  <c:v>43459</c:v>
                </c:pt>
                <c:pt idx="22">
                  <c:v>43460</c:v>
                </c:pt>
                <c:pt idx="23">
                  <c:v>43461</c:v>
                </c:pt>
                <c:pt idx="24">
                  <c:v>43462</c:v>
                </c:pt>
                <c:pt idx="25">
                  <c:v>43463</c:v>
                </c:pt>
                <c:pt idx="26">
                  <c:v>43464</c:v>
                </c:pt>
                <c:pt idx="27">
                  <c:v>43465</c:v>
                </c:pt>
                <c:pt idx="28">
                  <c:v>43466</c:v>
                </c:pt>
                <c:pt idx="29">
                  <c:v>43467</c:v>
                </c:pt>
                <c:pt idx="30">
                  <c:v>43468</c:v>
                </c:pt>
                <c:pt idx="31">
                  <c:v>43469</c:v>
                </c:pt>
                <c:pt idx="32">
                  <c:v>43470</c:v>
                </c:pt>
                <c:pt idx="33">
                  <c:v>43471</c:v>
                </c:pt>
                <c:pt idx="34">
                  <c:v>43472</c:v>
                </c:pt>
                <c:pt idx="35">
                  <c:v>43473</c:v>
                </c:pt>
                <c:pt idx="36">
                  <c:v>43474</c:v>
                </c:pt>
                <c:pt idx="37">
                  <c:v>43475</c:v>
                </c:pt>
                <c:pt idx="38">
                  <c:v>43476</c:v>
                </c:pt>
                <c:pt idx="39">
                  <c:v>43477</c:v>
                </c:pt>
                <c:pt idx="40">
                  <c:v>43478</c:v>
                </c:pt>
                <c:pt idx="41">
                  <c:v>43479</c:v>
                </c:pt>
                <c:pt idx="42">
                  <c:v>43480</c:v>
                </c:pt>
                <c:pt idx="43">
                  <c:v>43481</c:v>
                </c:pt>
                <c:pt idx="44">
                  <c:v>43482</c:v>
                </c:pt>
                <c:pt idx="45">
                  <c:v>43483</c:v>
                </c:pt>
                <c:pt idx="46">
                  <c:v>43484</c:v>
                </c:pt>
                <c:pt idx="47">
                  <c:v>43485</c:v>
                </c:pt>
                <c:pt idx="48">
                  <c:v>43486</c:v>
                </c:pt>
                <c:pt idx="49">
                  <c:v>43487</c:v>
                </c:pt>
                <c:pt idx="50">
                  <c:v>43488</c:v>
                </c:pt>
                <c:pt idx="51">
                  <c:v>43489</c:v>
                </c:pt>
                <c:pt idx="52">
                  <c:v>43490</c:v>
                </c:pt>
                <c:pt idx="53">
                  <c:v>43491</c:v>
                </c:pt>
                <c:pt idx="54">
                  <c:v>43492</c:v>
                </c:pt>
                <c:pt idx="55">
                  <c:v>43493</c:v>
                </c:pt>
                <c:pt idx="56">
                  <c:v>43494</c:v>
                </c:pt>
                <c:pt idx="57">
                  <c:v>43495</c:v>
                </c:pt>
                <c:pt idx="58">
                  <c:v>43496</c:v>
                </c:pt>
                <c:pt idx="59">
                  <c:v>43497</c:v>
                </c:pt>
                <c:pt idx="60">
                  <c:v>43498</c:v>
                </c:pt>
                <c:pt idx="61">
                  <c:v>43499</c:v>
                </c:pt>
                <c:pt idx="62">
                  <c:v>43500</c:v>
                </c:pt>
                <c:pt idx="63">
                  <c:v>43501</c:v>
                </c:pt>
                <c:pt idx="64">
                  <c:v>43502</c:v>
                </c:pt>
                <c:pt idx="65">
                  <c:v>43503</c:v>
                </c:pt>
                <c:pt idx="66">
                  <c:v>43504</c:v>
                </c:pt>
                <c:pt idx="67">
                  <c:v>43505</c:v>
                </c:pt>
                <c:pt idx="68">
                  <c:v>43506</c:v>
                </c:pt>
                <c:pt idx="69">
                  <c:v>43507</c:v>
                </c:pt>
                <c:pt idx="70">
                  <c:v>43508</c:v>
                </c:pt>
                <c:pt idx="71">
                  <c:v>43509</c:v>
                </c:pt>
                <c:pt idx="72">
                  <c:v>43510</c:v>
                </c:pt>
                <c:pt idx="73">
                  <c:v>43511</c:v>
                </c:pt>
                <c:pt idx="74">
                  <c:v>43512</c:v>
                </c:pt>
                <c:pt idx="75">
                  <c:v>43513</c:v>
                </c:pt>
                <c:pt idx="76">
                  <c:v>43514</c:v>
                </c:pt>
                <c:pt idx="77">
                  <c:v>43515</c:v>
                </c:pt>
              </c:numCache>
            </c:numRef>
          </c:xVal>
          <c:yVal>
            <c:numRef>
              <c:f>vicen!$C$8:$C$85</c:f>
              <c:numCache>
                <c:formatCode>General</c:formatCode>
                <c:ptCount val="78"/>
                <c:pt idx="1">
                  <c:v>1.9906458333333283</c:v>
                </c:pt>
                <c:pt idx="2">
                  <c:v>1.1012083333333429</c:v>
                </c:pt>
                <c:pt idx="3">
                  <c:v>1.0164999999999904</c:v>
                </c:pt>
                <c:pt idx="4">
                  <c:v>1.1435624999999949</c:v>
                </c:pt>
                <c:pt idx="5">
                  <c:v>1.6941666666666664</c:v>
                </c:pt>
                <c:pt idx="6">
                  <c:v>1.5671041666666616</c:v>
                </c:pt>
                <c:pt idx="7">
                  <c:v>1.8635833333333476</c:v>
                </c:pt>
                <c:pt idx="8">
                  <c:v>1.9482916666666517</c:v>
                </c:pt>
                <c:pt idx="9">
                  <c:v>1.9482916666666763</c:v>
                </c:pt>
                <c:pt idx="10">
                  <c:v>1.2706249999999997</c:v>
                </c:pt>
                <c:pt idx="11">
                  <c:v>0.84708333333333319</c:v>
                </c:pt>
                <c:pt idx="12">
                  <c:v>2.0753541666666568</c:v>
                </c:pt>
                <c:pt idx="13">
                  <c:v>2.5412499999999993</c:v>
                </c:pt>
                <c:pt idx="14">
                  <c:v>1.7788750000000189</c:v>
                </c:pt>
                <c:pt idx="15">
                  <c:v>1.2282708333333237</c:v>
                </c:pt>
                <c:pt idx="16">
                  <c:v>1.9482916666666763</c:v>
                </c:pt>
                <c:pt idx="17">
                  <c:v>1.4400416666666569</c:v>
                </c:pt>
                <c:pt idx="18">
                  <c:v>1.4400416666666569</c:v>
                </c:pt>
                <c:pt idx="19">
                  <c:v>1.2282708333333476</c:v>
                </c:pt>
                <c:pt idx="20">
                  <c:v>1.7788749999999951</c:v>
                </c:pt>
                <c:pt idx="21">
                  <c:v>1.0588541666666667</c:v>
                </c:pt>
                <c:pt idx="22">
                  <c:v>1.6941666666666664</c:v>
                </c:pt>
                <c:pt idx="23">
                  <c:v>1.5247500000000094</c:v>
                </c:pt>
                <c:pt idx="24">
                  <c:v>1.3976874999999807</c:v>
                </c:pt>
                <c:pt idx="25">
                  <c:v>1.4400416666666809</c:v>
                </c:pt>
                <c:pt idx="26">
                  <c:v>1.5671041666666616</c:v>
                </c:pt>
                <c:pt idx="27">
                  <c:v>1.3553333333333284</c:v>
                </c:pt>
                <c:pt idx="28">
                  <c:v>1.8212291666666713</c:v>
                </c:pt>
                <c:pt idx="29">
                  <c:v>1.8212291666666713</c:v>
                </c:pt>
                <c:pt idx="30">
                  <c:v>2.0330000000000048</c:v>
                </c:pt>
                <c:pt idx="31">
                  <c:v>2.3294791666666663</c:v>
                </c:pt>
                <c:pt idx="32">
                  <c:v>1.9906458333333283</c:v>
                </c:pt>
                <c:pt idx="33">
                  <c:v>1.7365208333333189</c:v>
                </c:pt>
                <c:pt idx="34">
                  <c:v>1.4400416666666809</c:v>
                </c:pt>
                <c:pt idx="35">
                  <c:v>2.2871249999999899</c:v>
                </c:pt>
                <c:pt idx="36">
                  <c:v>1.2706249999999997</c:v>
                </c:pt>
                <c:pt idx="37">
                  <c:v>2.0753541666666808</c:v>
                </c:pt>
                <c:pt idx="38">
                  <c:v>2.1177083333333333</c:v>
                </c:pt>
                <c:pt idx="39">
                  <c:v>2.2447708333333138</c:v>
                </c:pt>
                <c:pt idx="40">
                  <c:v>1.4823958333333331</c:v>
                </c:pt>
                <c:pt idx="41">
                  <c:v>1.5247500000000094</c:v>
                </c:pt>
                <c:pt idx="42">
                  <c:v>1.8212291666666471</c:v>
                </c:pt>
                <c:pt idx="43">
                  <c:v>1.9482916666666763</c:v>
                </c:pt>
                <c:pt idx="44">
                  <c:v>1.1012083333333429</c:v>
                </c:pt>
                <c:pt idx="45">
                  <c:v>1.8212291666666471</c:v>
                </c:pt>
                <c:pt idx="46">
                  <c:v>1.9059375000000001</c:v>
                </c:pt>
                <c:pt idx="47">
                  <c:v>1.9059375000000001</c:v>
                </c:pt>
                <c:pt idx="48">
                  <c:v>1.1859166666666954</c:v>
                </c:pt>
                <c:pt idx="49">
                  <c:v>2.0329999999999808</c:v>
                </c:pt>
                <c:pt idx="50">
                  <c:v>2.3718333333333423</c:v>
                </c:pt>
                <c:pt idx="51">
                  <c:v>2.3718333333333423</c:v>
                </c:pt>
                <c:pt idx="52">
                  <c:v>2.7106666666666568</c:v>
                </c:pt>
                <c:pt idx="53">
                  <c:v>2.2024166666666858</c:v>
                </c:pt>
                <c:pt idx="54">
                  <c:v>1.3553333333333044</c:v>
                </c:pt>
                <c:pt idx="55">
                  <c:v>2.3718333333333423</c:v>
                </c:pt>
                <c:pt idx="56">
                  <c:v>1.4823958333333331</c:v>
                </c:pt>
                <c:pt idx="57">
                  <c:v>1.2706249999999997</c:v>
                </c:pt>
                <c:pt idx="58">
                  <c:v>1.3976874999999807</c:v>
                </c:pt>
                <c:pt idx="59">
                  <c:v>1.9906458333333525</c:v>
                </c:pt>
                <c:pt idx="60">
                  <c:v>1.7788750000000189</c:v>
                </c:pt>
                <c:pt idx="61">
                  <c:v>0.97414583333331406</c:v>
                </c:pt>
                <c:pt idx="62">
                  <c:v>2.0329999999999808</c:v>
                </c:pt>
                <c:pt idx="63">
                  <c:v>1.7365208333333426</c:v>
                </c:pt>
                <c:pt idx="64">
                  <c:v>2.4988958333333233</c:v>
                </c:pt>
                <c:pt idx="65">
                  <c:v>1.4400416666667051</c:v>
                </c:pt>
                <c:pt idx="66">
                  <c:v>1.3976874999999807</c:v>
                </c:pt>
                <c:pt idx="67">
                  <c:v>1.4823958333333331</c:v>
                </c:pt>
                <c:pt idx="68">
                  <c:v>1.5671041666666858</c:v>
                </c:pt>
                <c:pt idx="69">
                  <c:v>1.1435624999999709</c:v>
                </c:pt>
                <c:pt idx="70">
                  <c:v>2.1177083333333333</c:v>
                </c:pt>
                <c:pt idx="71">
                  <c:v>1.8212291666666953</c:v>
                </c:pt>
                <c:pt idx="72">
                  <c:v>1.8635833333333236</c:v>
                </c:pt>
                <c:pt idx="73">
                  <c:v>1.1012083333333429</c:v>
                </c:pt>
                <c:pt idx="74">
                  <c:v>1.1859166666666472</c:v>
                </c:pt>
                <c:pt idx="75">
                  <c:v>1.1859166666666472</c:v>
                </c:pt>
                <c:pt idx="76">
                  <c:v>0.46589583333334289</c:v>
                </c:pt>
                <c:pt idx="77">
                  <c:v>0.93179166666668578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9B89-4D3D-AAA2-6D0ACCED0CFD}"/>
            </c:ext>
          </c:extLst>
        </c:ser>
        <c:ser>
          <c:idx val="1"/>
          <c:order val="1"/>
          <c:tx>
            <c:strRef>
              <c:f>vicen!$D$7</c:f>
              <c:strCache>
                <c:ptCount val="1"/>
                <c:pt idx="0">
                  <c:v>21 °C pata + svit</c:v>
                </c:pt>
              </c:strCache>
            </c:strRef>
          </c:tx>
          <c:marker>
            <c:symbol val="none"/>
          </c:marker>
          <c:xVal>
            <c:numRef>
              <c:f>vicen!$A$8:$A$85</c:f>
              <c:numCache>
                <c:formatCode>dd/mm/yyyy</c:formatCode>
                <c:ptCount val="78"/>
                <c:pt idx="0">
                  <c:v>43438</c:v>
                </c:pt>
                <c:pt idx="1">
                  <c:v>43439</c:v>
                </c:pt>
                <c:pt idx="2">
                  <c:v>43440</c:v>
                </c:pt>
                <c:pt idx="3">
                  <c:v>43441</c:v>
                </c:pt>
                <c:pt idx="4">
                  <c:v>43442</c:v>
                </c:pt>
                <c:pt idx="5">
                  <c:v>43443</c:v>
                </c:pt>
                <c:pt idx="6">
                  <c:v>43444</c:v>
                </c:pt>
                <c:pt idx="7">
                  <c:v>43445</c:v>
                </c:pt>
                <c:pt idx="8">
                  <c:v>43446</c:v>
                </c:pt>
                <c:pt idx="9">
                  <c:v>43447</c:v>
                </c:pt>
                <c:pt idx="10">
                  <c:v>43448</c:v>
                </c:pt>
                <c:pt idx="11">
                  <c:v>43449</c:v>
                </c:pt>
                <c:pt idx="12">
                  <c:v>43450</c:v>
                </c:pt>
                <c:pt idx="13">
                  <c:v>43451</c:v>
                </c:pt>
                <c:pt idx="14">
                  <c:v>43452</c:v>
                </c:pt>
                <c:pt idx="15">
                  <c:v>43453</c:v>
                </c:pt>
                <c:pt idx="16">
                  <c:v>43454</c:v>
                </c:pt>
                <c:pt idx="17">
                  <c:v>43455</c:v>
                </c:pt>
                <c:pt idx="18">
                  <c:v>43456</c:v>
                </c:pt>
                <c:pt idx="19">
                  <c:v>43457</c:v>
                </c:pt>
                <c:pt idx="20">
                  <c:v>43458</c:v>
                </c:pt>
                <c:pt idx="21">
                  <c:v>43459</c:v>
                </c:pt>
                <c:pt idx="22">
                  <c:v>43460</c:v>
                </c:pt>
                <c:pt idx="23">
                  <c:v>43461</c:v>
                </c:pt>
                <c:pt idx="24">
                  <c:v>43462</c:v>
                </c:pt>
                <c:pt idx="25">
                  <c:v>43463</c:v>
                </c:pt>
                <c:pt idx="26">
                  <c:v>43464</c:v>
                </c:pt>
                <c:pt idx="27">
                  <c:v>43465</c:v>
                </c:pt>
                <c:pt idx="28">
                  <c:v>43466</c:v>
                </c:pt>
                <c:pt idx="29">
                  <c:v>43467</c:v>
                </c:pt>
                <c:pt idx="30">
                  <c:v>43468</c:v>
                </c:pt>
                <c:pt idx="31">
                  <c:v>43469</c:v>
                </c:pt>
                <c:pt idx="32">
                  <c:v>43470</c:v>
                </c:pt>
                <c:pt idx="33">
                  <c:v>43471</c:v>
                </c:pt>
                <c:pt idx="34">
                  <c:v>43472</c:v>
                </c:pt>
                <c:pt idx="35">
                  <c:v>43473</c:v>
                </c:pt>
                <c:pt idx="36">
                  <c:v>43474</c:v>
                </c:pt>
                <c:pt idx="37">
                  <c:v>43475</c:v>
                </c:pt>
                <c:pt idx="38">
                  <c:v>43476</c:v>
                </c:pt>
                <c:pt idx="39">
                  <c:v>43477</c:v>
                </c:pt>
                <c:pt idx="40">
                  <c:v>43478</c:v>
                </c:pt>
                <c:pt idx="41">
                  <c:v>43479</c:v>
                </c:pt>
                <c:pt idx="42">
                  <c:v>43480</c:v>
                </c:pt>
                <c:pt idx="43">
                  <c:v>43481</c:v>
                </c:pt>
                <c:pt idx="44">
                  <c:v>43482</c:v>
                </c:pt>
                <c:pt idx="45">
                  <c:v>43483</c:v>
                </c:pt>
                <c:pt idx="46">
                  <c:v>43484</c:v>
                </c:pt>
                <c:pt idx="47">
                  <c:v>43485</c:v>
                </c:pt>
                <c:pt idx="48">
                  <c:v>43486</c:v>
                </c:pt>
                <c:pt idx="49">
                  <c:v>43487</c:v>
                </c:pt>
                <c:pt idx="50">
                  <c:v>43488</c:v>
                </c:pt>
                <c:pt idx="51">
                  <c:v>43489</c:v>
                </c:pt>
                <c:pt idx="52">
                  <c:v>43490</c:v>
                </c:pt>
                <c:pt idx="53">
                  <c:v>43491</c:v>
                </c:pt>
                <c:pt idx="54">
                  <c:v>43492</c:v>
                </c:pt>
                <c:pt idx="55">
                  <c:v>43493</c:v>
                </c:pt>
                <c:pt idx="56">
                  <c:v>43494</c:v>
                </c:pt>
                <c:pt idx="57">
                  <c:v>43495</c:v>
                </c:pt>
                <c:pt idx="58">
                  <c:v>43496</c:v>
                </c:pt>
                <c:pt idx="59">
                  <c:v>43497</c:v>
                </c:pt>
                <c:pt idx="60">
                  <c:v>43498</c:v>
                </c:pt>
                <c:pt idx="61">
                  <c:v>43499</c:v>
                </c:pt>
                <c:pt idx="62">
                  <c:v>43500</c:v>
                </c:pt>
                <c:pt idx="63">
                  <c:v>43501</c:v>
                </c:pt>
                <c:pt idx="64">
                  <c:v>43502</c:v>
                </c:pt>
                <c:pt idx="65">
                  <c:v>43503</c:v>
                </c:pt>
                <c:pt idx="66">
                  <c:v>43504</c:v>
                </c:pt>
                <c:pt idx="67">
                  <c:v>43505</c:v>
                </c:pt>
                <c:pt idx="68">
                  <c:v>43506</c:v>
                </c:pt>
                <c:pt idx="69">
                  <c:v>43507</c:v>
                </c:pt>
                <c:pt idx="70">
                  <c:v>43508</c:v>
                </c:pt>
                <c:pt idx="71">
                  <c:v>43509</c:v>
                </c:pt>
                <c:pt idx="72">
                  <c:v>43510</c:v>
                </c:pt>
                <c:pt idx="73">
                  <c:v>43511</c:v>
                </c:pt>
                <c:pt idx="74">
                  <c:v>43512</c:v>
                </c:pt>
                <c:pt idx="75">
                  <c:v>43513</c:v>
                </c:pt>
                <c:pt idx="76">
                  <c:v>43514</c:v>
                </c:pt>
                <c:pt idx="77">
                  <c:v>43515</c:v>
                </c:pt>
              </c:numCache>
            </c:numRef>
          </c:xVal>
          <c:yVal>
            <c:numRef>
              <c:f>vicen!$D$8:$D$85</c:f>
              <c:numCache>
                <c:formatCode>General</c:formatCode>
                <c:ptCount val="78"/>
                <c:pt idx="0">
                  <c:v>1.3626666666666667</c:v>
                </c:pt>
                <c:pt idx="1">
                  <c:v>1.4339999999999997</c:v>
                </c:pt>
                <c:pt idx="2">
                  <c:v>1.7766666666666666</c:v>
                </c:pt>
                <c:pt idx="3">
                  <c:v>1.1386666666666665</c:v>
                </c:pt>
                <c:pt idx="4">
                  <c:v>1.1453333333333333</c:v>
                </c:pt>
                <c:pt idx="5">
                  <c:v>1.2193333333333332</c:v>
                </c:pt>
                <c:pt idx="6">
                  <c:v>1.4346666666666668</c:v>
                </c:pt>
                <c:pt idx="7">
                  <c:v>1.7453333333333332</c:v>
                </c:pt>
                <c:pt idx="8">
                  <c:v>1.8573333333333331</c:v>
                </c:pt>
                <c:pt idx="9">
                  <c:v>2.1933333333333334</c:v>
                </c:pt>
                <c:pt idx="10">
                  <c:v>2.1933333333333334</c:v>
                </c:pt>
                <c:pt idx="11">
                  <c:v>2.1093333333333333</c:v>
                </c:pt>
                <c:pt idx="12">
                  <c:v>2.1933333333333334</c:v>
                </c:pt>
                <c:pt idx="13">
                  <c:v>1.7453333333333332</c:v>
                </c:pt>
                <c:pt idx="14">
                  <c:v>1.8106666666666664</c:v>
                </c:pt>
                <c:pt idx="15">
                  <c:v>1.3706666666666663</c:v>
                </c:pt>
                <c:pt idx="16">
                  <c:v>1.6453333333333331</c:v>
                </c:pt>
                <c:pt idx="17">
                  <c:v>1.4093333333333333</c:v>
                </c:pt>
                <c:pt idx="18">
                  <c:v>0.98866666666666658</c:v>
                </c:pt>
                <c:pt idx="19">
                  <c:v>1.3439999999999999</c:v>
                </c:pt>
                <c:pt idx="20">
                  <c:v>1.7453333333333332</c:v>
                </c:pt>
                <c:pt idx="21">
                  <c:v>1.6893333333333334</c:v>
                </c:pt>
                <c:pt idx="22">
                  <c:v>1.3529999999999998</c:v>
                </c:pt>
                <c:pt idx="23">
                  <c:v>1.5119999999999998</c:v>
                </c:pt>
                <c:pt idx="24">
                  <c:v>1.5493333333333335</c:v>
                </c:pt>
                <c:pt idx="25">
                  <c:v>1.6053333333333333</c:v>
                </c:pt>
                <c:pt idx="26">
                  <c:v>1.4136666666666664</c:v>
                </c:pt>
                <c:pt idx="27">
                  <c:v>1.5306666666666664</c:v>
                </c:pt>
                <c:pt idx="28">
                  <c:v>1.3016666666666665</c:v>
                </c:pt>
                <c:pt idx="29">
                  <c:v>1.8156666666666663</c:v>
                </c:pt>
                <c:pt idx="30">
                  <c:v>2.0553333333333339</c:v>
                </c:pt>
                <c:pt idx="31">
                  <c:v>2.0606666666666666</c:v>
                </c:pt>
                <c:pt idx="32">
                  <c:v>1.5586666666666666</c:v>
                </c:pt>
                <c:pt idx="33">
                  <c:v>1.8226666666666669</c:v>
                </c:pt>
                <c:pt idx="34">
                  <c:v>1.2816666666666667</c:v>
                </c:pt>
                <c:pt idx="35">
                  <c:v>1.6239999999999997</c:v>
                </c:pt>
                <c:pt idx="36">
                  <c:v>1.577333333333333</c:v>
                </c:pt>
                <c:pt idx="37">
                  <c:v>1.9413333333333331</c:v>
                </c:pt>
                <c:pt idx="38">
                  <c:v>2.1066666666666665</c:v>
                </c:pt>
                <c:pt idx="39">
                  <c:v>1.7266666666666666</c:v>
                </c:pt>
                <c:pt idx="40">
                  <c:v>1.427</c:v>
                </c:pt>
                <c:pt idx="41">
                  <c:v>1.3146666666666667</c:v>
                </c:pt>
                <c:pt idx="42">
                  <c:v>1.7546666666666666</c:v>
                </c:pt>
                <c:pt idx="43">
                  <c:v>1.5223333333333331</c:v>
                </c:pt>
                <c:pt idx="44">
                  <c:v>0.97266666666666657</c:v>
                </c:pt>
                <c:pt idx="45">
                  <c:v>1.912333333333333</c:v>
                </c:pt>
                <c:pt idx="46">
                  <c:v>1.7153333333333336</c:v>
                </c:pt>
                <c:pt idx="47">
                  <c:v>1.9470000000000003</c:v>
                </c:pt>
                <c:pt idx="48">
                  <c:v>1.8519999999999999</c:v>
                </c:pt>
                <c:pt idx="49">
                  <c:v>1.8726666666666669</c:v>
                </c:pt>
                <c:pt idx="50">
                  <c:v>2.3539999999999996</c:v>
                </c:pt>
                <c:pt idx="51">
                  <c:v>2.3706666666666663</c:v>
                </c:pt>
                <c:pt idx="52">
                  <c:v>2.305333333333333</c:v>
                </c:pt>
                <c:pt idx="53">
                  <c:v>1.9133333333333333</c:v>
                </c:pt>
                <c:pt idx="54">
                  <c:v>1.5269999999999999</c:v>
                </c:pt>
                <c:pt idx="55">
                  <c:v>1.68</c:v>
                </c:pt>
                <c:pt idx="56">
                  <c:v>1.8019999999999998</c:v>
                </c:pt>
                <c:pt idx="57">
                  <c:v>1.2476666666666665</c:v>
                </c:pt>
                <c:pt idx="58">
                  <c:v>1.1936666666666667</c:v>
                </c:pt>
                <c:pt idx="59">
                  <c:v>1.5023333333333331</c:v>
                </c:pt>
                <c:pt idx="60">
                  <c:v>0.99399999999999988</c:v>
                </c:pt>
                <c:pt idx="61">
                  <c:v>1.9319999999999997</c:v>
                </c:pt>
                <c:pt idx="62">
                  <c:v>2.0626666666666669</c:v>
                </c:pt>
                <c:pt idx="63">
                  <c:v>1.3806666666666665</c:v>
                </c:pt>
                <c:pt idx="64">
                  <c:v>1.5893333333333335</c:v>
                </c:pt>
                <c:pt idx="65">
                  <c:v>1.2623333333333329</c:v>
                </c:pt>
                <c:pt idx="66">
                  <c:v>1.4333333333333331</c:v>
                </c:pt>
                <c:pt idx="67">
                  <c:v>1.5399999999999998</c:v>
                </c:pt>
                <c:pt idx="68">
                  <c:v>1.1166666666666665</c:v>
                </c:pt>
                <c:pt idx="69">
                  <c:v>1.2963333333333333</c:v>
                </c:pt>
                <c:pt idx="70">
                  <c:v>1.5096666666666665</c:v>
                </c:pt>
                <c:pt idx="71">
                  <c:v>1.5399999999999998</c:v>
                </c:pt>
                <c:pt idx="72">
                  <c:v>1.5026666666666666</c:v>
                </c:pt>
                <c:pt idx="73">
                  <c:v>1.3343333333333334</c:v>
                </c:pt>
                <c:pt idx="74">
                  <c:v>0.9660000000000003</c:v>
                </c:pt>
                <c:pt idx="75">
                  <c:v>0.72799999999999998</c:v>
                </c:pt>
                <c:pt idx="76">
                  <c:v>0.81200000000000006</c:v>
                </c:pt>
                <c:pt idx="77">
                  <c:v>0.5083333333333333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9B89-4D3D-AAA2-6D0ACCED0CFD}"/>
            </c:ext>
          </c:extLst>
        </c:ser>
        <c:axId val="147790080"/>
        <c:axId val="147812352"/>
      </c:scatterChart>
      <c:valAx>
        <c:axId val="147790080"/>
        <c:scaling>
          <c:orientation val="minMax"/>
        </c:scaling>
        <c:axPos val="b"/>
        <c:majorGridlines/>
        <c:minorGridlines/>
        <c:numFmt formatCode="dd/mm/yyyy" sourceLinked="1"/>
        <c:tickLblPos val="nextTo"/>
        <c:txPr>
          <a:bodyPr rot="-960000"/>
          <a:lstStyle/>
          <a:p>
            <a:pPr>
              <a:defRPr/>
            </a:pPr>
            <a:endParaRPr lang="cs-CZ"/>
          </a:p>
        </c:txPr>
        <c:crossAx val="147812352"/>
        <c:crosses val="autoZero"/>
        <c:crossBetween val="midCat"/>
        <c:majorUnit val="7"/>
        <c:minorUnit val="1"/>
      </c:valAx>
      <c:valAx>
        <c:axId val="147812352"/>
        <c:scaling>
          <c:orientation val="minMax"/>
        </c:scaling>
        <c:axPos val="l"/>
        <c:majorGridlines/>
        <c:numFmt formatCode="General" sourceLinked="1"/>
        <c:tickLblPos val="nextTo"/>
        <c:crossAx val="14779008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příkon kW - tep ztráty x COP (kW)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petr!$F$5</c:f>
              <c:strCache>
                <c:ptCount val="1"/>
                <c:pt idx="0">
                  <c:v>kW top</c:v>
                </c:pt>
              </c:strCache>
            </c:strRef>
          </c:tx>
          <c:xVal>
            <c:numRef>
              <c:f>petr!$A$7:$A$36</c:f>
              <c:numCache>
                <c:formatCode>mmm/yy</c:formatCode>
                <c:ptCount val="30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43541</c:v>
                </c:pt>
                <c:pt idx="28">
                  <c:v>43586</c:v>
                </c:pt>
                <c:pt idx="29">
                  <c:v>43618</c:v>
                </c:pt>
              </c:numCache>
            </c:numRef>
          </c:xVal>
          <c:yVal>
            <c:numRef>
              <c:f>petr!$F$7:$F$36</c:f>
              <c:numCache>
                <c:formatCode>General</c:formatCode>
                <c:ptCount val="30"/>
                <c:pt idx="0">
                  <c:v>0.38198924731182798</c:v>
                </c:pt>
                <c:pt idx="1">
                  <c:v>0.81944444444444442</c:v>
                </c:pt>
                <c:pt idx="2">
                  <c:v>1.0849462365591398</c:v>
                </c:pt>
                <c:pt idx="3">
                  <c:v>1.6373655913978495</c:v>
                </c:pt>
                <c:pt idx="4">
                  <c:v>1.1675595238095238</c:v>
                </c:pt>
                <c:pt idx="5">
                  <c:v>0.40215053763440861</c:v>
                </c:pt>
                <c:pt idx="6">
                  <c:v>0.33749999999999997</c:v>
                </c:pt>
                <c:pt idx="7">
                  <c:v>4.3279569892473058E-2</c:v>
                </c:pt>
                <c:pt idx="8">
                  <c:v>-3.1944444444444442E-2</c:v>
                </c:pt>
                <c:pt idx="9">
                  <c:v>-1.3172043010752699E-2</c:v>
                </c:pt>
                <c:pt idx="10">
                  <c:v>-3.1989247311827951E-2</c:v>
                </c:pt>
                <c:pt idx="11">
                  <c:v>2.5000000000000022E-2</c:v>
                </c:pt>
                <c:pt idx="12">
                  <c:v>0.17499999999999999</c:v>
                </c:pt>
                <c:pt idx="13">
                  <c:v>0.54444444444444451</c:v>
                </c:pt>
                <c:pt idx="14">
                  <c:v>0.76639784946236578</c:v>
                </c:pt>
                <c:pt idx="15">
                  <c:v>0.69650537634408605</c:v>
                </c:pt>
                <c:pt idx="16">
                  <c:v>1.5053571428571431</c:v>
                </c:pt>
                <c:pt idx="17">
                  <c:v>0.78521505376344081</c:v>
                </c:pt>
                <c:pt idx="18">
                  <c:v>4.7222222222222221E-2</c:v>
                </c:pt>
                <c:pt idx="19">
                  <c:v>-2.93010752688172E-2</c:v>
                </c:pt>
                <c:pt idx="20">
                  <c:v>-0.11388888888888893</c:v>
                </c:pt>
                <c:pt idx="21">
                  <c:v>3.2526881720430056E-2</c:v>
                </c:pt>
                <c:pt idx="22">
                  <c:v>9.8387096774193605E-2</c:v>
                </c:pt>
                <c:pt idx="23">
                  <c:v>-2.3611111111111138E-2</c:v>
                </c:pt>
                <c:pt idx="24">
                  <c:v>0.15215053763440861</c:v>
                </c:pt>
                <c:pt idx="25">
                  <c:v>0.43333333333333329</c:v>
                </c:pt>
                <c:pt idx="26">
                  <c:v>0.73199685534591197</c:v>
                </c:pt>
                <c:pt idx="27">
                  <c:v>0.24722222222222229</c:v>
                </c:pt>
                <c:pt idx="28">
                  <c:v>0.16458333333333336</c:v>
                </c:pt>
                <c:pt idx="29">
                  <c:v>-6.0632183908045978E-2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350-4019-80F9-0CCB14CAFF8A}"/>
            </c:ext>
          </c:extLst>
        </c:ser>
        <c:ser>
          <c:idx val="1"/>
          <c:order val="1"/>
          <c:tx>
            <c:strRef>
              <c:f>petr!$G$5</c:f>
              <c:strCache>
                <c:ptCount val="1"/>
                <c:pt idx="0">
                  <c:v>kW tz</c:v>
                </c:pt>
              </c:strCache>
            </c:strRef>
          </c:tx>
          <c:xVal>
            <c:numRef>
              <c:f>petr!$A$7:$A$36</c:f>
              <c:numCache>
                <c:formatCode>mmm/yy</c:formatCode>
                <c:ptCount val="30"/>
                <c:pt idx="0">
                  <c:v>42644</c:v>
                </c:pt>
                <c:pt idx="1">
                  <c:v>42675</c:v>
                </c:pt>
                <c:pt idx="2">
                  <c:v>42705</c:v>
                </c:pt>
                <c:pt idx="3">
                  <c:v>42736</c:v>
                </c:pt>
                <c:pt idx="4">
                  <c:v>42767</c:v>
                </c:pt>
                <c:pt idx="5">
                  <c:v>42795</c:v>
                </c:pt>
                <c:pt idx="6">
                  <c:v>42826</c:v>
                </c:pt>
                <c:pt idx="7">
                  <c:v>42856</c:v>
                </c:pt>
                <c:pt idx="8">
                  <c:v>42887</c:v>
                </c:pt>
                <c:pt idx="9">
                  <c:v>42917</c:v>
                </c:pt>
                <c:pt idx="10">
                  <c:v>42948</c:v>
                </c:pt>
                <c:pt idx="11">
                  <c:v>42979</c:v>
                </c:pt>
                <c:pt idx="12">
                  <c:v>43009</c:v>
                </c:pt>
                <c:pt idx="13">
                  <c:v>43040</c:v>
                </c:pt>
                <c:pt idx="14">
                  <c:v>43070</c:v>
                </c:pt>
                <c:pt idx="15">
                  <c:v>43101</c:v>
                </c:pt>
                <c:pt idx="16">
                  <c:v>43132</c:v>
                </c:pt>
                <c:pt idx="17">
                  <c:v>43160</c:v>
                </c:pt>
                <c:pt idx="18">
                  <c:v>43191</c:v>
                </c:pt>
                <c:pt idx="19">
                  <c:v>43221</c:v>
                </c:pt>
                <c:pt idx="20">
                  <c:v>43252</c:v>
                </c:pt>
                <c:pt idx="21">
                  <c:v>43282</c:v>
                </c:pt>
                <c:pt idx="22">
                  <c:v>43313</c:v>
                </c:pt>
                <c:pt idx="23">
                  <c:v>43344</c:v>
                </c:pt>
                <c:pt idx="24">
                  <c:v>43374</c:v>
                </c:pt>
                <c:pt idx="25">
                  <c:v>43405</c:v>
                </c:pt>
                <c:pt idx="26">
                  <c:v>43435</c:v>
                </c:pt>
                <c:pt idx="27">
                  <c:v>43541</c:v>
                </c:pt>
                <c:pt idx="28">
                  <c:v>43586</c:v>
                </c:pt>
                <c:pt idx="29">
                  <c:v>43618</c:v>
                </c:pt>
              </c:numCache>
            </c:numRef>
          </c:xVal>
          <c:yVal>
            <c:numRef>
              <c:f>petr!$G$7:$G$36</c:f>
              <c:numCache>
                <c:formatCode>General</c:formatCode>
                <c:ptCount val="30"/>
                <c:pt idx="0">
                  <c:v>0.35741935483871606</c:v>
                </c:pt>
                <c:pt idx="1">
                  <c:v>0.87099999999999755</c:v>
                </c:pt>
                <c:pt idx="2">
                  <c:v>1.1464516129032216</c:v>
                </c:pt>
                <c:pt idx="3">
                  <c:v>1.6593548387096793</c:v>
                </c:pt>
                <c:pt idx="4">
                  <c:v>0.97035714285714536</c:v>
                </c:pt>
                <c:pt idx="5">
                  <c:v>0.44516129032257773</c:v>
                </c:pt>
                <c:pt idx="6">
                  <c:v>0.39233333333333265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0.11903225806450912</c:v>
                </c:pt>
                <c:pt idx="13">
                  <c:v>0.73933333333332485</c:v>
                </c:pt>
                <c:pt idx="14">
                  <c:v>0.97193548387095374</c:v>
                </c:pt>
                <c:pt idx="15">
                  <c:v>0.87516129032258427</c:v>
                </c:pt>
                <c:pt idx="16">
                  <c:v>1.4550000000000052</c:v>
                </c:pt>
                <c:pt idx="17">
                  <c:v>0.96161290322579585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9.8064516129030999E-2</c:v>
                </c:pt>
                <c:pt idx="25">
                  <c:v>0.77133333333333221</c:v>
                </c:pt>
                <c:pt idx="26">
                  <c:v>0.91858490566038664</c:v>
                </c:pt>
                <c:pt idx="27">
                  <c:v>0.21933333333333085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350-4019-80F9-0CCB14CAFF8A}"/>
            </c:ext>
          </c:extLst>
        </c:ser>
        <c:axId val="119129600"/>
        <c:axId val="119131136"/>
      </c:scatterChart>
      <c:valAx>
        <c:axId val="119129600"/>
        <c:scaling>
          <c:orientation val="minMax"/>
        </c:scaling>
        <c:axPos val="b"/>
        <c:numFmt formatCode="mmm/yy" sourceLinked="1"/>
        <c:tickLblPos val="nextTo"/>
        <c:txPr>
          <a:bodyPr rot="-1740000"/>
          <a:lstStyle/>
          <a:p>
            <a:pPr>
              <a:defRPr/>
            </a:pPr>
            <a:endParaRPr lang="cs-CZ"/>
          </a:p>
        </c:txPr>
        <c:crossAx val="119131136"/>
        <c:crosses val="autoZero"/>
        <c:crossBetween val="midCat"/>
        <c:majorUnit val="30"/>
      </c:valAx>
      <c:valAx>
        <c:axId val="119131136"/>
        <c:scaling>
          <c:orientation val="minMax"/>
        </c:scaling>
        <c:axPos val="l"/>
        <c:majorGridlines/>
        <c:numFmt formatCode="General" sourceLinked="1"/>
        <c:tickLblPos val="nextTo"/>
        <c:crossAx val="11912960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200" baseline="0"/>
              <a:t>Vliv nasazení Evohome počínaje říjnem 2017. Spotřeba snížena o cca 30%  z TZ 4,7 kW na 3 kW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evohome!$L$14</c:f>
              <c:strCache>
                <c:ptCount val="1"/>
                <c:pt idx="0">
                  <c:v>plyn (kW)</c:v>
                </c:pt>
              </c:strCache>
            </c:strRef>
          </c:tx>
          <c:marker>
            <c:symbol val="none"/>
          </c:marker>
          <c:xVal>
            <c:numRef>
              <c:f>evohome!$I$15:$I$211</c:f>
              <c:numCache>
                <c:formatCode>dd/mm/yyyy</c:formatCode>
                <c:ptCount val="197"/>
                <c:pt idx="0">
                  <c:v>42106</c:v>
                </c:pt>
                <c:pt idx="1">
                  <c:v>42113</c:v>
                </c:pt>
                <c:pt idx="2">
                  <c:v>42120</c:v>
                </c:pt>
                <c:pt idx="3">
                  <c:v>42127</c:v>
                </c:pt>
                <c:pt idx="4">
                  <c:v>42134</c:v>
                </c:pt>
                <c:pt idx="5">
                  <c:v>42141</c:v>
                </c:pt>
                <c:pt idx="6">
                  <c:v>42148</c:v>
                </c:pt>
                <c:pt idx="7">
                  <c:v>42155</c:v>
                </c:pt>
                <c:pt idx="8">
                  <c:v>42162</c:v>
                </c:pt>
                <c:pt idx="9">
                  <c:v>42169</c:v>
                </c:pt>
                <c:pt idx="10">
                  <c:v>42176</c:v>
                </c:pt>
                <c:pt idx="11">
                  <c:v>42183</c:v>
                </c:pt>
                <c:pt idx="12">
                  <c:v>42190</c:v>
                </c:pt>
                <c:pt idx="13">
                  <c:v>42197</c:v>
                </c:pt>
                <c:pt idx="14">
                  <c:v>42204</c:v>
                </c:pt>
                <c:pt idx="15">
                  <c:v>42211</c:v>
                </c:pt>
                <c:pt idx="16">
                  <c:v>42218</c:v>
                </c:pt>
                <c:pt idx="17">
                  <c:v>42225</c:v>
                </c:pt>
                <c:pt idx="18">
                  <c:v>42232</c:v>
                </c:pt>
                <c:pt idx="19">
                  <c:v>42239</c:v>
                </c:pt>
                <c:pt idx="20">
                  <c:v>42246</c:v>
                </c:pt>
                <c:pt idx="21">
                  <c:v>42253</c:v>
                </c:pt>
                <c:pt idx="22">
                  <c:v>42260</c:v>
                </c:pt>
                <c:pt idx="23">
                  <c:v>42267</c:v>
                </c:pt>
                <c:pt idx="24">
                  <c:v>42274</c:v>
                </c:pt>
                <c:pt idx="25">
                  <c:v>42281</c:v>
                </c:pt>
                <c:pt idx="26">
                  <c:v>42288</c:v>
                </c:pt>
                <c:pt idx="27">
                  <c:v>42295</c:v>
                </c:pt>
                <c:pt idx="28">
                  <c:v>42302</c:v>
                </c:pt>
                <c:pt idx="29">
                  <c:v>42309</c:v>
                </c:pt>
                <c:pt idx="30">
                  <c:v>42316</c:v>
                </c:pt>
                <c:pt idx="31">
                  <c:v>42323</c:v>
                </c:pt>
                <c:pt idx="32">
                  <c:v>42330</c:v>
                </c:pt>
                <c:pt idx="33">
                  <c:v>42337</c:v>
                </c:pt>
                <c:pt idx="34">
                  <c:v>42344</c:v>
                </c:pt>
                <c:pt idx="35">
                  <c:v>42351</c:v>
                </c:pt>
                <c:pt idx="36">
                  <c:v>42358</c:v>
                </c:pt>
                <c:pt idx="37">
                  <c:v>42365</c:v>
                </c:pt>
                <c:pt idx="38">
                  <c:v>42372</c:v>
                </c:pt>
                <c:pt idx="39">
                  <c:v>42379</c:v>
                </c:pt>
                <c:pt idx="40">
                  <c:v>42386</c:v>
                </c:pt>
                <c:pt idx="41">
                  <c:v>42393</c:v>
                </c:pt>
                <c:pt idx="42">
                  <c:v>42400</c:v>
                </c:pt>
                <c:pt idx="43">
                  <c:v>42407</c:v>
                </c:pt>
                <c:pt idx="44">
                  <c:v>42414</c:v>
                </c:pt>
                <c:pt idx="45">
                  <c:v>42421</c:v>
                </c:pt>
                <c:pt idx="46">
                  <c:v>42428</c:v>
                </c:pt>
                <c:pt idx="47">
                  <c:v>42435</c:v>
                </c:pt>
                <c:pt idx="48">
                  <c:v>42442</c:v>
                </c:pt>
                <c:pt idx="49">
                  <c:v>42449</c:v>
                </c:pt>
                <c:pt idx="50">
                  <c:v>42456</c:v>
                </c:pt>
                <c:pt idx="51">
                  <c:v>42463</c:v>
                </c:pt>
                <c:pt idx="52">
                  <c:v>42470</c:v>
                </c:pt>
                <c:pt idx="53">
                  <c:v>42477</c:v>
                </c:pt>
                <c:pt idx="54">
                  <c:v>42484</c:v>
                </c:pt>
                <c:pt idx="55">
                  <c:v>42491</c:v>
                </c:pt>
                <c:pt idx="56">
                  <c:v>42498</c:v>
                </c:pt>
                <c:pt idx="57">
                  <c:v>42505</c:v>
                </c:pt>
                <c:pt idx="58">
                  <c:v>42512</c:v>
                </c:pt>
                <c:pt idx="59">
                  <c:v>42519</c:v>
                </c:pt>
                <c:pt idx="60">
                  <c:v>42526</c:v>
                </c:pt>
                <c:pt idx="61">
                  <c:v>42533</c:v>
                </c:pt>
                <c:pt idx="62">
                  <c:v>42540</c:v>
                </c:pt>
                <c:pt idx="63">
                  <c:v>42547</c:v>
                </c:pt>
                <c:pt idx="64">
                  <c:v>42554</c:v>
                </c:pt>
                <c:pt idx="65">
                  <c:v>42561</c:v>
                </c:pt>
                <c:pt idx="66">
                  <c:v>42568</c:v>
                </c:pt>
                <c:pt idx="67">
                  <c:v>42575</c:v>
                </c:pt>
                <c:pt idx="68">
                  <c:v>42582</c:v>
                </c:pt>
                <c:pt idx="69">
                  <c:v>42589</c:v>
                </c:pt>
                <c:pt idx="70">
                  <c:v>42596</c:v>
                </c:pt>
                <c:pt idx="71">
                  <c:v>42603</c:v>
                </c:pt>
                <c:pt idx="72">
                  <c:v>42610</c:v>
                </c:pt>
                <c:pt idx="73">
                  <c:v>42617</c:v>
                </c:pt>
                <c:pt idx="74">
                  <c:v>42624</c:v>
                </c:pt>
                <c:pt idx="75">
                  <c:v>42631</c:v>
                </c:pt>
                <c:pt idx="76">
                  <c:v>42638</c:v>
                </c:pt>
                <c:pt idx="77">
                  <c:v>42645</c:v>
                </c:pt>
                <c:pt idx="78">
                  <c:v>42652</c:v>
                </c:pt>
                <c:pt idx="79">
                  <c:v>42659</c:v>
                </c:pt>
                <c:pt idx="80">
                  <c:v>42666</c:v>
                </c:pt>
                <c:pt idx="81">
                  <c:v>42673</c:v>
                </c:pt>
                <c:pt idx="82">
                  <c:v>42680</c:v>
                </c:pt>
                <c:pt idx="83">
                  <c:v>42687</c:v>
                </c:pt>
                <c:pt idx="84">
                  <c:v>42694</c:v>
                </c:pt>
                <c:pt idx="85">
                  <c:v>42701</c:v>
                </c:pt>
                <c:pt idx="86">
                  <c:v>42708</c:v>
                </c:pt>
                <c:pt idx="87">
                  <c:v>42715</c:v>
                </c:pt>
                <c:pt idx="88">
                  <c:v>42722</c:v>
                </c:pt>
                <c:pt idx="89">
                  <c:v>42729</c:v>
                </c:pt>
                <c:pt idx="90">
                  <c:v>42736</c:v>
                </c:pt>
                <c:pt idx="91">
                  <c:v>42743</c:v>
                </c:pt>
                <c:pt idx="92">
                  <c:v>42750</c:v>
                </c:pt>
                <c:pt idx="93">
                  <c:v>42757</c:v>
                </c:pt>
                <c:pt idx="94">
                  <c:v>42764</c:v>
                </c:pt>
                <c:pt idx="95">
                  <c:v>42771</c:v>
                </c:pt>
                <c:pt idx="96">
                  <c:v>42778</c:v>
                </c:pt>
                <c:pt idx="97">
                  <c:v>42785</c:v>
                </c:pt>
                <c:pt idx="98">
                  <c:v>42792</c:v>
                </c:pt>
                <c:pt idx="99">
                  <c:v>42799</c:v>
                </c:pt>
                <c:pt idx="100">
                  <c:v>42806</c:v>
                </c:pt>
                <c:pt idx="101">
                  <c:v>42813</c:v>
                </c:pt>
                <c:pt idx="102">
                  <c:v>42820</c:v>
                </c:pt>
                <c:pt idx="103">
                  <c:v>42827</c:v>
                </c:pt>
                <c:pt idx="104">
                  <c:v>42834</c:v>
                </c:pt>
                <c:pt idx="105">
                  <c:v>42841</c:v>
                </c:pt>
                <c:pt idx="106">
                  <c:v>42848</c:v>
                </c:pt>
                <c:pt idx="107">
                  <c:v>42855</c:v>
                </c:pt>
                <c:pt idx="108">
                  <c:v>42862</c:v>
                </c:pt>
                <c:pt idx="109">
                  <c:v>42869</c:v>
                </c:pt>
                <c:pt idx="110">
                  <c:v>42876</c:v>
                </c:pt>
                <c:pt idx="111">
                  <c:v>42883</c:v>
                </c:pt>
                <c:pt idx="112">
                  <c:v>42890</c:v>
                </c:pt>
                <c:pt idx="113">
                  <c:v>42897</c:v>
                </c:pt>
                <c:pt idx="114">
                  <c:v>42904</c:v>
                </c:pt>
                <c:pt idx="115">
                  <c:v>42911</c:v>
                </c:pt>
                <c:pt idx="116">
                  <c:v>42918</c:v>
                </c:pt>
                <c:pt idx="117">
                  <c:v>42925</c:v>
                </c:pt>
                <c:pt idx="118">
                  <c:v>42932</c:v>
                </c:pt>
                <c:pt idx="119">
                  <c:v>42939</c:v>
                </c:pt>
                <c:pt idx="120">
                  <c:v>42946</c:v>
                </c:pt>
                <c:pt idx="121">
                  <c:v>42953</c:v>
                </c:pt>
                <c:pt idx="122">
                  <c:v>42960</c:v>
                </c:pt>
                <c:pt idx="123">
                  <c:v>42967</c:v>
                </c:pt>
                <c:pt idx="124">
                  <c:v>42974</c:v>
                </c:pt>
                <c:pt idx="125">
                  <c:v>42981</c:v>
                </c:pt>
                <c:pt idx="126">
                  <c:v>42988</c:v>
                </c:pt>
                <c:pt idx="127">
                  <c:v>42995</c:v>
                </c:pt>
                <c:pt idx="128">
                  <c:v>43002</c:v>
                </c:pt>
                <c:pt idx="129">
                  <c:v>43009</c:v>
                </c:pt>
                <c:pt idx="130">
                  <c:v>43016</c:v>
                </c:pt>
                <c:pt idx="131">
                  <c:v>43023</c:v>
                </c:pt>
                <c:pt idx="132">
                  <c:v>43030</c:v>
                </c:pt>
                <c:pt idx="133">
                  <c:v>43037</c:v>
                </c:pt>
                <c:pt idx="134">
                  <c:v>43044</c:v>
                </c:pt>
                <c:pt idx="135">
                  <c:v>43051</c:v>
                </c:pt>
                <c:pt idx="136">
                  <c:v>43058</c:v>
                </c:pt>
                <c:pt idx="137">
                  <c:v>43065</c:v>
                </c:pt>
                <c:pt idx="138">
                  <c:v>43072</c:v>
                </c:pt>
                <c:pt idx="139">
                  <c:v>43079</c:v>
                </c:pt>
                <c:pt idx="140">
                  <c:v>43086</c:v>
                </c:pt>
                <c:pt idx="141">
                  <c:v>43093</c:v>
                </c:pt>
                <c:pt idx="142">
                  <c:v>43100</c:v>
                </c:pt>
                <c:pt idx="143">
                  <c:v>43107</c:v>
                </c:pt>
                <c:pt idx="144">
                  <c:v>43114</c:v>
                </c:pt>
                <c:pt idx="145">
                  <c:v>43121</c:v>
                </c:pt>
                <c:pt idx="146">
                  <c:v>43128</c:v>
                </c:pt>
                <c:pt idx="147">
                  <c:v>43135</c:v>
                </c:pt>
                <c:pt idx="148">
                  <c:v>43142</c:v>
                </c:pt>
                <c:pt idx="149">
                  <c:v>43149</c:v>
                </c:pt>
                <c:pt idx="150">
                  <c:v>43156</c:v>
                </c:pt>
                <c:pt idx="151">
                  <c:v>43163</c:v>
                </c:pt>
                <c:pt idx="152">
                  <c:v>43170</c:v>
                </c:pt>
                <c:pt idx="153">
                  <c:v>43177</c:v>
                </c:pt>
                <c:pt idx="154">
                  <c:v>43184</c:v>
                </c:pt>
                <c:pt idx="155">
                  <c:v>43191</c:v>
                </c:pt>
                <c:pt idx="156">
                  <c:v>43198</c:v>
                </c:pt>
                <c:pt idx="157">
                  <c:v>43205</c:v>
                </c:pt>
                <c:pt idx="158">
                  <c:v>43212</c:v>
                </c:pt>
                <c:pt idx="159">
                  <c:v>43219</c:v>
                </c:pt>
                <c:pt idx="160">
                  <c:v>43226</c:v>
                </c:pt>
                <c:pt idx="161">
                  <c:v>43233</c:v>
                </c:pt>
                <c:pt idx="162">
                  <c:v>43240</c:v>
                </c:pt>
                <c:pt idx="163">
                  <c:v>43247</c:v>
                </c:pt>
                <c:pt idx="164">
                  <c:v>43254</c:v>
                </c:pt>
                <c:pt idx="165">
                  <c:v>43261</c:v>
                </c:pt>
                <c:pt idx="166">
                  <c:v>43268</c:v>
                </c:pt>
                <c:pt idx="167">
                  <c:v>43275</c:v>
                </c:pt>
                <c:pt idx="168">
                  <c:v>43282</c:v>
                </c:pt>
                <c:pt idx="169">
                  <c:v>43289</c:v>
                </c:pt>
                <c:pt idx="170">
                  <c:v>43296</c:v>
                </c:pt>
                <c:pt idx="171">
                  <c:v>43303</c:v>
                </c:pt>
                <c:pt idx="172">
                  <c:v>43310</c:v>
                </c:pt>
                <c:pt idx="173">
                  <c:v>43317</c:v>
                </c:pt>
                <c:pt idx="174">
                  <c:v>43324</c:v>
                </c:pt>
                <c:pt idx="175">
                  <c:v>43331</c:v>
                </c:pt>
                <c:pt idx="176">
                  <c:v>43338</c:v>
                </c:pt>
                <c:pt idx="177">
                  <c:v>43345</c:v>
                </c:pt>
                <c:pt idx="178">
                  <c:v>43352</c:v>
                </c:pt>
                <c:pt idx="179">
                  <c:v>43359</c:v>
                </c:pt>
                <c:pt idx="180">
                  <c:v>43366</c:v>
                </c:pt>
                <c:pt idx="181">
                  <c:v>43373</c:v>
                </c:pt>
                <c:pt idx="182">
                  <c:v>43380</c:v>
                </c:pt>
                <c:pt idx="183">
                  <c:v>43387</c:v>
                </c:pt>
                <c:pt idx="184">
                  <c:v>43394</c:v>
                </c:pt>
                <c:pt idx="185">
                  <c:v>43401</c:v>
                </c:pt>
                <c:pt idx="186">
                  <c:v>43408</c:v>
                </c:pt>
                <c:pt idx="187">
                  <c:v>43415</c:v>
                </c:pt>
                <c:pt idx="188">
                  <c:v>43422</c:v>
                </c:pt>
                <c:pt idx="189">
                  <c:v>43429</c:v>
                </c:pt>
                <c:pt idx="190">
                  <c:v>43436</c:v>
                </c:pt>
                <c:pt idx="191">
                  <c:v>43443</c:v>
                </c:pt>
                <c:pt idx="192">
                  <c:v>43450</c:v>
                </c:pt>
                <c:pt idx="193">
                  <c:v>43457</c:v>
                </c:pt>
                <c:pt idx="194">
                  <c:v>43464</c:v>
                </c:pt>
                <c:pt idx="195">
                  <c:v>43471</c:v>
                </c:pt>
                <c:pt idx="196">
                  <c:v>43478</c:v>
                </c:pt>
              </c:numCache>
            </c:numRef>
          </c:xVal>
          <c:yVal>
            <c:numRef>
              <c:f>evohome!$L$15:$L$211</c:f>
              <c:numCache>
                <c:formatCode>General</c:formatCode>
                <c:ptCount val="19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0.52544642857142843</c:v>
                </c:pt>
                <c:pt idx="25">
                  <c:v>1.1941964285714286</c:v>
                </c:pt>
                <c:pt idx="26">
                  <c:v>0.95535714285714279</c:v>
                </c:pt>
                <c:pt idx="27">
                  <c:v>1.6241071428571427</c:v>
                </c:pt>
                <c:pt idx="28">
                  <c:v>1.9584821428571426</c:v>
                </c:pt>
                <c:pt idx="29">
                  <c:v>1.4808035714285714</c:v>
                </c:pt>
                <c:pt idx="30">
                  <c:v>1.4808035714285714</c:v>
                </c:pt>
                <c:pt idx="31">
                  <c:v>1.9107142857142856</c:v>
                </c:pt>
                <c:pt idx="32">
                  <c:v>1.8151785714285713</c:v>
                </c:pt>
                <c:pt idx="33">
                  <c:v>2.9616071428571429</c:v>
                </c:pt>
                <c:pt idx="34">
                  <c:v>2.1495535714285712</c:v>
                </c:pt>
                <c:pt idx="35">
                  <c:v>2.3406249999999997</c:v>
                </c:pt>
                <c:pt idx="36">
                  <c:v>2.1495535714285712</c:v>
                </c:pt>
                <c:pt idx="37">
                  <c:v>2.2450892857142857</c:v>
                </c:pt>
                <c:pt idx="38">
                  <c:v>3.1049107142857144</c:v>
                </c:pt>
                <c:pt idx="39">
                  <c:v>3.7258928571428571</c:v>
                </c:pt>
                <c:pt idx="40">
                  <c:v>2.7705357142857139</c:v>
                </c:pt>
                <c:pt idx="41">
                  <c:v>2.7705357142857139</c:v>
                </c:pt>
                <c:pt idx="42">
                  <c:v>4.0124999999999993</c:v>
                </c:pt>
                <c:pt idx="43">
                  <c:v>3.2482142857142855</c:v>
                </c:pt>
                <c:pt idx="44">
                  <c:v>2.5316964285714283</c:v>
                </c:pt>
                <c:pt idx="45">
                  <c:v>2.5316964285714283</c:v>
                </c:pt>
                <c:pt idx="46">
                  <c:v>1.9584821428571426</c:v>
                </c:pt>
                <c:pt idx="47">
                  <c:v>1.6241071428571427</c:v>
                </c:pt>
                <c:pt idx="48">
                  <c:v>1.671875</c:v>
                </c:pt>
                <c:pt idx="49">
                  <c:v>1.0508928571428569</c:v>
                </c:pt>
                <c:pt idx="50">
                  <c:v>1.4808035714285714</c:v>
                </c:pt>
                <c:pt idx="51">
                  <c:v>0.71651785714285721</c:v>
                </c:pt>
                <c:pt idx="52">
                  <c:v>0.90758928571428565</c:v>
                </c:pt>
                <c:pt idx="53">
                  <c:v>0.62098214285714293</c:v>
                </c:pt>
                <c:pt idx="54">
                  <c:v>1.5285714285714285</c:v>
                </c:pt>
                <c:pt idx="55">
                  <c:v>1.0986607142857143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0.19107142857142856</c:v>
                </c:pt>
                <c:pt idx="77">
                  <c:v>0.85982142857142874</c:v>
                </c:pt>
                <c:pt idx="78">
                  <c:v>1.0986607142857143</c:v>
                </c:pt>
                <c:pt idx="79">
                  <c:v>1.3852678571428569</c:v>
                </c:pt>
                <c:pt idx="80">
                  <c:v>1.3374999999999999</c:v>
                </c:pt>
                <c:pt idx="81">
                  <c:v>1.5763392857142855</c:v>
                </c:pt>
                <c:pt idx="82">
                  <c:v>2.6749999999999998</c:v>
                </c:pt>
                <c:pt idx="83">
                  <c:v>1.9584821428571426</c:v>
                </c:pt>
                <c:pt idx="84">
                  <c:v>1.6241071428571427</c:v>
                </c:pt>
                <c:pt idx="85">
                  <c:v>2.7705357142857139</c:v>
                </c:pt>
                <c:pt idx="86">
                  <c:v>2.0062499999999996</c:v>
                </c:pt>
                <c:pt idx="87">
                  <c:v>2.3883928571428572</c:v>
                </c:pt>
                <c:pt idx="88">
                  <c:v>2.4361607142857142</c:v>
                </c:pt>
                <c:pt idx="89">
                  <c:v>2.6272321428571428</c:v>
                </c:pt>
                <c:pt idx="90">
                  <c:v>2.4361607142857142</c:v>
                </c:pt>
                <c:pt idx="91">
                  <c:v>4.0124999999999993</c:v>
                </c:pt>
                <c:pt idx="92">
                  <c:v>2.8183035714285714</c:v>
                </c:pt>
                <c:pt idx="93">
                  <c:v>4.824553571428571</c:v>
                </c:pt>
                <c:pt idx="94">
                  <c:v>2.2928571428571423</c:v>
                </c:pt>
                <c:pt idx="95">
                  <c:v>2.1973214285714286</c:v>
                </c:pt>
                <c:pt idx="96">
                  <c:v>2.2928571428571423</c:v>
                </c:pt>
                <c:pt idx="97">
                  <c:v>2.9138392857142854</c:v>
                </c:pt>
                <c:pt idx="98">
                  <c:v>2.9138392857142854</c:v>
                </c:pt>
                <c:pt idx="99">
                  <c:v>3.0571428571428569</c:v>
                </c:pt>
                <c:pt idx="100">
                  <c:v>2.8183035714285714</c:v>
                </c:pt>
                <c:pt idx="101">
                  <c:v>2.8183035714285714</c:v>
                </c:pt>
                <c:pt idx="102">
                  <c:v>1.8629464285714286</c:v>
                </c:pt>
                <c:pt idx="103">
                  <c:v>1.2419642857142859</c:v>
                </c:pt>
                <c:pt idx="104">
                  <c:v>0.90758928571428565</c:v>
                </c:pt>
                <c:pt idx="105">
                  <c:v>0.90758928571428565</c:v>
                </c:pt>
                <c:pt idx="106">
                  <c:v>1.3852678571428569</c:v>
                </c:pt>
                <c:pt idx="107">
                  <c:v>1.7674107142857141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0.4776785714285714</c:v>
                </c:pt>
                <c:pt idx="130">
                  <c:v>0.66874999999999996</c:v>
                </c:pt>
                <c:pt idx="131">
                  <c:v>0.42991071428571437</c:v>
                </c:pt>
                <c:pt idx="132">
                  <c:v>0.4776785714285714</c:v>
                </c:pt>
                <c:pt idx="133">
                  <c:v>0.52544642857142843</c:v>
                </c:pt>
                <c:pt idx="134">
                  <c:v>1.0986607142857143</c:v>
                </c:pt>
                <c:pt idx="135">
                  <c:v>0.81205357142857137</c:v>
                </c:pt>
                <c:pt idx="136">
                  <c:v>1.0031249999999998</c:v>
                </c:pt>
                <c:pt idx="137">
                  <c:v>0.57321428571428557</c:v>
                </c:pt>
                <c:pt idx="138">
                  <c:v>1.1464285714285711</c:v>
                </c:pt>
                <c:pt idx="139">
                  <c:v>1.7196428571428575</c:v>
                </c:pt>
                <c:pt idx="140">
                  <c:v>2.2450892857142857</c:v>
                </c:pt>
                <c:pt idx="141">
                  <c:v>1.9584821428571426</c:v>
                </c:pt>
                <c:pt idx="142">
                  <c:v>1.9107142857142856</c:v>
                </c:pt>
                <c:pt idx="143">
                  <c:v>2.1973214285714286</c:v>
                </c:pt>
                <c:pt idx="144">
                  <c:v>1.5763392857142855</c:v>
                </c:pt>
                <c:pt idx="145">
                  <c:v>1.5285714285714285</c:v>
                </c:pt>
                <c:pt idx="146">
                  <c:v>2.3883928571428572</c:v>
                </c:pt>
                <c:pt idx="147">
                  <c:v>1.4330357142857144</c:v>
                </c:pt>
                <c:pt idx="148">
                  <c:v>2.2928571428571423</c:v>
                </c:pt>
                <c:pt idx="149">
                  <c:v>2.6272321428571428</c:v>
                </c:pt>
                <c:pt idx="150">
                  <c:v>2.1017857142857137</c:v>
                </c:pt>
                <c:pt idx="151">
                  <c:v>2.6749999999999998</c:v>
                </c:pt>
                <c:pt idx="152">
                  <c:v>1.9584821428571426</c:v>
                </c:pt>
                <c:pt idx="153">
                  <c:v>1.7196428571428575</c:v>
                </c:pt>
                <c:pt idx="154">
                  <c:v>1.9107142857142856</c:v>
                </c:pt>
                <c:pt idx="155">
                  <c:v>1.7674107142857141</c:v>
                </c:pt>
                <c:pt idx="156">
                  <c:v>2.3883928571428572</c:v>
                </c:pt>
                <c:pt idx="157">
                  <c:v>1.2419642857142859</c:v>
                </c:pt>
                <c:pt idx="158">
                  <c:v>0.66874999999999996</c:v>
                </c:pt>
                <c:pt idx="159">
                  <c:v>0.66874999999999996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979-4039-9B75-0BFB9C40AE02}"/>
            </c:ext>
          </c:extLst>
        </c:ser>
        <c:ser>
          <c:idx val="1"/>
          <c:order val="1"/>
          <c:tx>
            <c:strRef>
              <c:f>evohome!$M$14</c:f>
              <c:strCache>
                <c:ptCount val="1"/>
                <c:pt idx="0">
                  <c:v>TZ (kW)</c:v>
                </c:pt>
              </c:strCache>
            </c:strRef>
          </c:tx>
          <c:marker>
            <c:symbol val="none"/>
          </c:marker>
          <c:xVal>
            <c:numRef>
              <c:f>evohome!$I$15:$I$211</c:f>
              <c:numCache>
                <c:formatCode>dd/mm/yyyy</c:formatCode>
                <c:ptCount val="197"/>
                <c:pt idx="0">
                  <c:v>42106</c:v>
                </c:pt>
                <c:pt idx="1">
                  <c:v>42113</c:v>
                </c:pt>
                <c:pt idx="2">
                  <c:v>42120</c:v>
                </c:pt>
                <c:pt idx="3">
                  <c:v>42127</c:v>
                </c:pt>
                <c:pt idx="4">
                  <c:v>42134</c:v>
                </c:pt>
                <c:pt idx="5">
                  <c:v>42141</c:v>
                </c:pt>
                <c:pt idx="6">
                  <c:v>42148</c:v>
                </c:pt>
                <c:pt idx="7">
                  <c:v>42155</c:v>
                </c:pt>
                <c:pt idx="8">
                  <c:v>42162</c:v>
                </c:pt>
                <c:pt idx="9">
                  <c:v>42169</c:v>
                </c:pt>
                <c:pt idx="10">
                  <c:v>42176</c:v>
                </c:pt>
                <c:pt idx="11">
                  <c:v>42183</c:v>
                </c:pt>
                <c:pt idx="12">
                  <c:v>42190</c:v>
                </c:pt>
                <c:pt idx="13">
                  <c:v>42197</c:v>
                </c:pt>
                <c:pt idx="14">
                  <c:v>42204</c:v>
                </c:pt>
                <c:pt idx="15">
                  <c:v>42211</c:v>
                </c:pt>
                <c:pt idx="16">
                  <c:v>42218</c:v>
                </c:pt>
                <c:pt idx="17">
                  <c:v>42225</c:v>
                </c:pt>
                <c:pt idx="18">
                  <c:v>42232</c:v>
                </c:pt>
                <c:pt idx="19">
                  <c:v>42239</c:v>
                </c:pt>
                <c:pt idx="20">
                  <c:v>42246</c:v>
                </c:pt>
                <c:pt idx="21">
                  <c:v>42253</c:v>
                </c:pt>
                <c:pt idx="22">
                  <c:v>42260</c:v>
                </c:pt>
                <c:pt idx="23">
                  <c:v>42267</c:v>
                </c:pt>
                <c:pt idx="24">
                  <c:v>42274</c:v>
                </c:pt>
                <c:pt idx="25">
                  <c:v>42281</c:v>
                </c:pt>
                <c:pt idx="26">
                  <c:v>42288</c:v>
                </c:pt>
                <c:pt idx="27">
                  <c:v>42295</c:v>
                </c:pt>
                <c:pt idx="28">
                  <c:v>42302</c:v>
                </c:pt>
                <c:pt idx="29">
                  <c:v>42309</c:v>
                </c:pt>
                <c:pt idx="30">
                  <c:v>42316</c:v>
                </c:pt>
                <c:pt idx="31">
                  <c:v>42323</c:v>
                </c:pt>
                <c:pt idx="32">
                  <c:v>42330</c:v>
                </c:pt>
                <c:pt idx="33">
                  <c:v>42337</c:v>
                </c:pt>
                <c:pt idx="34">
                  <c:v>42344</c:v>
                </c:pt>
                <c:pt idx="35">
                  <c:v>42351</c:v>
                </c:pt>
                <c:pt idx="36">
                  <c:v>42358</c:v>
                </c:pt>
                <c:pt idx="37">
                  <c:v>42365</c:v>
                </c:pt>
                <c:pt idx="38">
                  <c:v>42372</c:v>
                </c:pt>
                <c:pt idx="39">
                  <c:v>42379</c:v>
                </c:pt>
                <c:pt idx="40">
                  <c:v>42386</c:v>
                </c:pt>
                <c:pt idx="41">
                  <c:v>42393</c:v>
                </c:pt>
                <c:pt idx="42">
                  <c:v>42400</c:v>
                </c:pt>
                <c:pt idx="43">
                  <c:v>42407</c:v>
                </c:pt>
                <c:pt idx="44">
                  <c:v>42414</c:v>
                </c:pt>
                <c:pt idx="45">
                  <c:v>42421</c:v>
                </c:pt>
                <c:pt idx="46">
                  <c:v>42428</c:v>
                </c:pt>
                <c:pt idx="47">
                  <c:v>42435</c:v>
                </c:pt>
                <c:pt idx="48">
                  <c:v>42442</c:v>
                </c:pt>
                <c:pt idx="49">
                  <c:v>42449</c:v>
                </c:pt>
                <c:pt idx="50">
                  <c:v>42456</c:v>
                </c:pt>
                <c:pt idx="51">
                  <c:v>42463</c:v>
                </c:pt>
                <c:pt idx="52">
                  <c:v>42470</c:v>
                </c:pt>
                <c:pt idx="53">
                  <c:v>42477</c:v>
                </c:pt>
                <c:pt idx="54">
                  <c:v>42484</c:v>
                </c:pt>
                <c:pt idx="55">
                  <c:v>42491</c:v>
                </c:pt>
                <c:pt idx="56">
                  <c:v>42498</c:v>
                </c:pt>
                <c:pt idx="57">
                  <c:v>42505</c:v>
                </c:pt>
                <c:pt idx="58">
                  <c:v>42512</c:v>
                </c:pt>
                <c:pt idx="59">
                  <c:v>42519</c:v>
                </c:pt>
                <c:pt idx="60">
                  <c:v>42526</c:v>
                </c:pt>
                <c:pt idx="61">
                  <c:v>42533</c:v>
                </c:pt>
                <c:pt idx="62">
                  <c:v>42540</c:v>
                </c:pt>
                <c:pt idx="63">
                  <c:v>42547</c:v>
                </c:pt>
                <c:pt idx="64">
                  <c:v>42554</c:v>
                </c:pt>
                <c:pt idx="65">
                  <c:v>42561</c:v>
                </c:pt>
                <c:pt idx="66">
                  <c:v>42568</c:v>
                </c:pt>
                <c:pt idx="67">
                  <c:v>42575</c:v>
                </c:pt>
                <c:pt idx="68">
                  <c:v>42582</c:v>
                </c:pt>
                <c:pt idx="69">
                  <c:v>42589</c:v>
                </c:pt>
                <c:pt idx="70">
                  <c:v>42596</c:v>
                </c:pt>
                <c:pt idx="71">
                  <c:v>42603</c:v>
                </c:pt>
                <c:pt idx="72">
                  <c:v>42610</c:v>
                </c:pt>
                <c:pt idx="73">
                  <c:v>42617</c:v>
                </c:pt>
                <c:pt idx="74">
                  <c:v>42624</c:v>
                </c:pt>
                <c:pt idx="75">
                  <c:v>42631</c:v>
                </c:pt>
                <c:pt idx="76">
                  <c:v>42638</c:v>
                </c:pt>
                <c:pt idx="77">
                  <c:v>42645</c:v>
                </c:pt>
                <c:pt idx="78">
                  <c:v>42652</c:v>
                </c:pt>
                <c:pt idx="79">
                  <c:v>42659</c:v>
                </c:pt>
                <c:pt idx="80">
                  <c:v>42666</c:v>
                </c:pt>
                <c:pt idx="81">
                  <c:v>42673</c:v>
                </c:pt>
                <c:pt idx="82">
                  <c:v>42680</c:v>
                </c:pt>
                <c:pt idx="83">
                  <c:v>42687</c:v>
                </c:pt>
                <c:pt idx="84">
                  <c:v>42694</c:v>
                </c:pt>
                <c:pt idx="85">
                  <c:v>42701</c:v>
                </c:pt>
                <c:pt idx="86">
                  <c:v>42708</c:v>
                </c:pt>
                <c:pt idx="87">
                  <c:v>42715</c:v>
                </c:pt>
                <c:pt idx="88">
                  <c:v>42722</c:v>
                </c:pt>
                <c:pt idx="89">
                  <c:v>42729</c:v>
                </c:pt>
                <c:pt idx="90">
                  <c:v>42736</c:v>
                </c:pt>
                <c:pt idx="91">
                  <c:v>42743</c:v>
                </c:pt>
                <c:pt idx="92">
                  <c:v>42750</c:v>
                </c:pt>
                <c:pt idx="93">
                  <c:v>42757</c:v>
                </c:pt>
                <c:pt idx="94">
                  <c:v>42764</c:v>
                </c:pt>
                <c:pt idx="95">
                  <c:v>42771</c:v>
                </c:pt>
                <c:pt idx="96">
                  <c:v>42778</c:v>
                </c:pt>
                <c:pt idx="97">
                  <c:v>42785</c:v>
                </c:pt>
                <c:pt idx="98">
                  <c:v>42792</c:v>
                </c:pt>
                <c:pt idx="99">
                  <c:v>42799</c:v>
                </c:pt>
                <c:pt idx="100">
                  <c:v>42806</c:v>
                </c:pt>
                <c:pt idx="101">
                  <c:v>42813</c:v>
                </c:pt>
                <c:pt idx="102">
                  <c:v>42820</c:v>
                </c:pt>
                <c:pt idx="103">
                  <c:v>42827</c:v>
                </c:pt>
                <c:pt idx="104">
                  <c:v>42834</c:v>
                </c:pt>
                <c:pt idx="105">
                  <c:v>42841</c:v>
                </c:pt>
                <c:pt idx="106">
                  <c:v>42848</c:v>
                </c:pt>
                <c:pt idx="107">
                  <c:v>42855</c:v>
                </c:pt>
                <c:pt idx="108">
                  <c:v>42862</c:v>
                </c:pt>
                <c:pt idx="109">
                  <c:v>42869</c:v>
                </c:pt>
                <c:pt idx="110">
                  <c:v>42876</c:v>
                </c:pt>
                <c:pt idx="111">
                  <c:v>42883</c:v>
                </c:pt>
                <c:pt idx="112">
                  <c:v>42890</c:v>
                </c:pt>
                <c:pt idx="113">
                  <c:v>42897</c:v>
                </c:pt>
                <c:pt idx="114">
                  <c:v>42904</c:v>
                </c:pt>
                <c:pt idx="115">
                  <c:v>42911</c:v>
                </c:pt>
                <c:pt idx="116">
                  <c:v>42918</c:v>
                </c:pt>
                <c:pt idx="117">
                  <c:v>42925</c:v>
                </c:pt>
                <c:pt idx="118">
                  <c:v>42932</c:v>
                </c:pt>
                <c:pt idx="119">
                  <c:v>42939</c:v>
                </c:pt>
                <c:pt idx="120">
                  <c:v>42946</c:v>
                </c:pt>
                <c:pt idx="121">
                  <c:v>42953</c:v>
                </c:pt>
                <c:pt idx="122">
                  <c:v>42960</c:v>
                </c:pt>
                <c:pt idx="123">
                  <c:v>42967</c:v>
                </c:pt>
                <c:pt idx="124">
                  <c:v>42974</c:v>
                </c:pt>
                <c:pt idx="125">
                  <c:v>42981</c:v>
                </c:pt>
                <c:pt idx="126">
                  <c:v>42988</c:v>
                </c:pt>
                <c:pt idx="127">
                  <c:v>42995</c:v>
                </c:pt>
                <c:pt idx="128">
                  <c:v>43002</c:v>
                </c:pt>
                <c:pt idx="129">
                  <c:v>43009</c:v>
                </c:pt>
                <c:pt idx="130">
                  <c:v>43016</c:v>
                </c:pt>
                <c:pt idx="131">
                  <c:v>43023</c:v>
                </c:pt>
                <c:pt idx="132">
                  <c:v>43030</c:v>
                </c:pt>
                <c:pt idx="133">
                  <c:v>43037</c:v>
                </c:pt>
                <c:pt idx="134">
                  <c:v>43044</c:v>
                </c:pt>
                <c:pt idx="135">
                  <c:v>43051</c:v>
                </c:pt>
                <c:pt idx="136">
                  <c:v>43058</c:v>
                </c:pt>
                <c:pt idx="137">
                  <c:v>43065</c:v>
                </c:pt>
                <c:pt idx="138">
                  <c:v>43072</c:v>
                </c:pt>
                <c:pt idx="139">
                  <c:v>43079</c:v>
                </c:pt>
                <c:pt idx="140">
                  <c:v>43086</c:v>
                </c:pt>
                <c:pt idx="141">
                  <c:v>43093</c:v>
                </c:pt>
                <c:pt idx="142">
                  <c:v>43100</c:v>
                </c:pt>
                <c:pt idx="143">
                  <c:v>43107</c:v>
                </c:pt>
                <c:pt idx="144">
                  <c:v>43114</c:v>
                </c:pt>
                <c:pt idx="145">
                  <c:v>43121</c:v>
                </c:pt>
                <c:pt idx="146">
                  <c:v>43128</c:v>
                </c:pt>
                <c:pt idx="147">
                  <c:v>43135</c:v>
                </c:pt>
                <c:pt idx="148">
                  <c:v>43142</c:v>
                </c:pt>
                <c:pt idx="149">
                  <c:v>43149</c:v>
                </c:pt>
                <c:pt idx="150">
                  <c:v>43156</c:v>
                </c:pt>
                <c:pt idx="151">
                  <c:v>43163</c:v>
                </c:pt>
                <c:pt idx="152">
                  <c:v>43170</c:v>
                </c:pt>
                <c:pt idx="153">
                  <c:v>43177</c:v>
                </c:pt>
                <c:pt idx="154">
                  <c:v>43184</c:v>
                </c:pt>
                <c:pt idx="155">
                  <c:v>43191</c:v>
                </c:pt>
                <c:pt idx="156">
                  <c:v>43198</c:v>
                </c:pt>
                <c:pt idx="157">
                  <c:v>43205</c:v>
                </c:pt>
                <c:pt idx="158">
                  <c:v>43212</c:v>
                </c:pt>
                <c:pt idx="159">
                  <c:v>43219</c:v>
                </c:pt>
                <c:pt idx="160">
                  <c:v>43226</c:v>
                </c:pt>
                <c:pt idx="161">
                  <c:v>43233</c:v>
                </c:pt>
                <c:pt idx="162">
                  <c:v>43240</c:v>
                </c:pt>
                <c:pt idx="163">
                  <c:v>43247</c:v>
                </c:pt>
                <c:pt idx="164">
                  <c:v>43254</c:v>
                </c:pt>
                <c:pt idx="165">
                  <c:v>43261</c:v>
                </c:pt>
                <c:pt idx="166">
                  <c:v>43268</c:v>
                </c:pt>
                <c:pt idx="167">
                  <c:v>43275</c:v>
                </c:pt>
                <c:pt idx="168">
                  <c:v>43282</c:v>
                </c:pt>
                <c:pt idx="169">
                  <c:v>43289</c:v>
                </c:pt>
                <c:pt idx="170">
                  <c:v>43296</c:v>
                </c:pt>
                <c:pt idx="171">
                  <c:v>43303</c:v>
                </c:pt>
                <c:pt idx="172">
                  <c:v>43310</c:v>
                </c:pt>
                <c:pt idx="173">
                  <c:v>43317</c:v>
                </c:pt>
                <c:pt idx="174">
                  <c:v>43324</c:v>
                </c:pt>
                <c:pt idx="175">
                  <c:v>43331</c:v>
                </c:pt>
                <c:pt idx="176">
                  <c:v>43338</c:v>
                </c:pt>
                <c:pt idx="177">
                  <c:v>43345</c:v>
                </c:pt>
                <c:pt idx="178">
                  <c:v>43352</c:v>
                </c:pt>
                <c:pt idx="179">
                  <c:v>43359</c:v>
                </c:pt>
                <c:pt idx="180">
                  <c:v>43366</c:v>
                </c:pt>
                <c:pt idx="181">
                  <c:v>43373</c:v>
                </c:pt>
                <c:pt idx="182">
                  <c:v>43380</c:v>
                </c:pt>
                <c:pt idx="183">
                  <c:v>43387</c:v>
                </c:pt>
                <c:pt idx="184">
                  <c:v>43394</c:v>
                </c:pt>
                <c:pt idx="185">
                  <c:v>43401</c:v>
                </c:pt>
                <c:pt idx="186">
                  <c:v>43408</c:v>
                </c:pt>
                <c:pt idx="187">
                  <c:v>43415</c:v>
                </c:pt>
                <c:pt idx="188">
                  <c:v>43422</c:v>
                </c:pt>
                <c:pt idx="189">
                  <c:v>43429</c:v>
                </c:pt>
                <c:pt idx="190">
                  <c:v>43436</c:v>
                </c:pt>
                <c:pt idx="191">
                  <c:v>43443</c:v>
                </c:pt>
                <c:pt idx="192">
                  <c:v>43450</c:v>
                </c:pt>
                <c:pt idx="193">
                  <c:v>43457</c:v>
                </c:pt>
                <c:pt idx="194">
                  <c:v>43464</c:v>
                </c:pt>
                <c:pt idx="195">
                  <c:v>43471</c:v>
                </c:pt>
                <c:pt idx="196">
                  <c:v>43478</c:v>
                </c:pt>
              </c:numCache>
            </c:numRef>
          </c:xVal>
          <c:yVal>
            <c:numRef>
              <c:f>evohome!$M$15:$M$211</c:f>
              <c:numCache>
                <c:formatCode>General</c:formatCode>
                <c:ptCount val="197"/>
                <c:pt idx="0">
                  <c:v>1.4357142857142857</c:v>
                </c:pt>
                <c:pt idx="1">
                  <c:v>1.107142857142857</c:v>
                </c:pt>
                <c:pt idx="2">
                  <c:v>0.76666666666666783</c:v>
                </c:pt>
                <c:pt idx="3">
                  <c:v>1.1904761904761902</c:v>
                </c:pt>
                <c:pt idx="4">
                  <c:v>0.40238095238095184</c:v>
                </c:pt>
                <c:pt idx="5">
                  <c:v>0.60238095238094991</c:v>
                </c:pt>
                <c:pt idx="6">
                  <c:v>0.60238095238094735</c:v>
                </c:pt>
                <c:pt idx="7">
                  <c:v>0.53095238095238262</c:v>
                </c:pt>
                <c:pt idx="8">
                  <c:v>-0.48809523809523786</c:v>
                </c:pt>
                <c:pt idx="9">
                  <c:v>-6.904761904762384E-2</c:v>
                </c:pt>
                <c:pt idx="10">
                  <c:v>0.46428571428571708</c:v>
                </c:pt>
                <c:pt idx="11">
                  <c:v>0.21190476190476412</c:v>
                </c:pt>
                <c:pt idx="12">
                  <c:v>-0.95476190476190281</c:v>
                </c:pt>
                <c:pt idx="13">
                  <c:v>-0.50238095238095559</c:v>
                </c:pt>
                <c:pt idx="14">
                  <c:v>-0.86190476190475762</c:v>
                </c:pt>
                <c:pt idx="15">
                  <c:v>-0.96904761904762005</c:v>
                </c:pt>
                <c:pt idx="16">
                  <c:v>-0.20238095238095255</c:v>
                </c:pt>
                <c:pt idx="17">
                  <c:v>-1.4119047619047607</c:v>
                </c:pt>
                <c:pt idx="18">
                  <c:v>-1.4000000000000046</c:v>
                </c:pt>
                <c:pt idx="19">
                  <c:v>-3.8095238095246842E-2</c:v>
                </c:pt>
                <c:pt idx="20">
                  <c:v>-0.70000000000000229</c:v>
                </c:pt>
                <c:pt idx="21">
                  <c:v>-0.21428571428573603</c:v>
                </c:pt>
                <c:pt idx="22">
                  <c:v>0.5595238095238203</c:v>
                </c:pt>
                <c:pt idx="23">
                  <c:v>6.9047619047621467E-2</c:v>
                </c:pt>
                <c:pt idx="24">
                  <c:v>0.64047619047619264</c:v>
                </c:pt>
                <c:pt idx="25">
                  <c:v>0.9619047619047425</c:v>
                </c:pt>
                <c:pt idx="26">
                  <c:v>0.94761904761905191</c:v>
                </c:pt>
                <c:pt idx="27">
                  <c:v>1.9238095238095283</c:v>
                </c:pt>
                <c:pt idx="28">
                  <c:v>1.5309523809523746</c:v>
                </c:pt>
                <c:pt idx="29">
                  <c:v>1.4238095238095283</c:v>
                </c:pt>
                <c:pt idx="30">
                  <c:v>1.6619047619047769</c:v>
                </c:pt>
                <c:pt idx="31">
                  <c:v>1.0142857142857229</c:v>
                </c:pt>
                <c:pt idx="32">
                  <c:v>1.4666666666666861</c:v>
                </c:pt>
                <c:pt idx="33">
                  <c:v>2.6190476190476191</c:v>
                </c:pt>
                <c:pt idx="34">
                  <c:v>1.7904761904761972</c:v>
                </c:pt>
                <c:pt idx="35">
                  <c:v>2.2023809523809414</c:v>
                </c:pt>
                <c:pt idx="36">
                  <c:v>1.9714285714285651</c:v>
                </c:pt>
                <c:pt idx="37">
                  <c:v>1.580952380952394</c:v>
                </c:pt>
                <c:pt idx="38">
                  <c:v>2.7880952380952246</c:v>
                </c:pt>
                <c:pt idx="39">
                  <c:v>3.2571428571428509</c:v>
                </c:pt>
                <c:pt idx="40">
                  <c:v>2.6976190476190518</c:v>
                </c:pt>
                <c:pt idx="41">
                  <c:v>3.8357142857142725</c:v>
                </c:pt>
                <c:pt idx="42">
                  <c:v>1.7928571428571471</c:v>
                </c:pt>
                <c:pt idx="43">
                  <c:v>1.9571428571428637</c:v>
                </c:pt>
                <c:pt idx="44">
                  <c:v>2.0523809523809695</c:v>
                </c:pt>
                <c:pt idx="45">
                  <c:v>2.3261904761904715</c:v>
                </c:pt>
                <c:pt idx="46">
                  <c:v>2.4785714285714153</c:v>
                </c:pt>
                <c:pt idx="47">
                  <c:v>2.4761904761904763</c:v>
                </c:pt>
                <c:pt idx="48">
                  <c:v>2.4238095238095387</c:v>
                </c:pt>
                <c:pt idx="49">
                  <c:v>2.2785714285714245</c:v>
                </c:pt>
                <c:pt idx="50">
                  <c:v>1.890476190476182</c:v>
                </c:pt>
                <c:pt idx="51">
                  <c:v>1.4214285714285779</c:v>
                </c:pt>
                <c:pt idx="52">
                  <c:v>0.98809523809523825</c:v>
                </c:pt>
                <c:pt idx="53">
                  <c:v>1.0857142857142839</c:v>
                </c:pt>
                <c:pt idx="54">
                  <c:v>1.5309523809523853</c:v>
                </c:pt>
                <c:pt idx="55">
                  <c:v>1.680952380952379</c:v>
                </c:pt>
                <c:pt idx="56">
                  <c:v>0.76666666666664063</c:v>
                </c:pt>
                <c:pt idx="57">
                  <c:v>0.49761904761906067</c:v>
                </c:pt>
                <c:pt idx="58">
                  <c:v>0.5047619047619003</c:v>
                </c:pt>
                <c:pt idx="59">
                  <c:v>5.7142857142869964E-2</c:v>
                </c:pt>
                <c:pt idx="60">
                  <c:v>-0.12142857142855827</c:v>
                </c:pt>
                <c:pt idx="61">
                  <c:v>-5.9523809523787698E-2</c:v>
                </c:pt>
                <c:pt idx="62">
                  <c:v>3.3333333333346239E-2</c:v>
                </c:pt>
                <c:pt idx="63">
                  <c:v>-0.63809523809524238</c:v>
                </c:pt>
                <c:pt idx="64">
                  <c:v>-0.40714285714284415</c:v>
                </c:pt>
                <c:pt idx="65">
                  <c:v>-0.38333333333334174</c:v>
                </c:pt>
                <c:pt idx="66">
                  <c:v>-0.25714285714283963</c:v>
                </c:pt>
                <c:pt idx="67">
                  <c:v>-0.71666666666667511</c:v>
                </c:pt>
                <c:pt idx="68">
                  <c:v>-0.70952380952381411</c:v>
                </c:pt>
                <c:pt idx="69">
                  <c:v>-0.29285714285716874</c:v>
                </c:pt>
                <c:pt idx="70">
                  <c:v>1.1904761904762159E-2</c:v>
                </c:pt>
                <c:pt idx="71">
                  <c:v>-0.19523809523811231</c:v>
                </c:pt>
                <c:pt idx="72">
                  <c:v>-0.57142857142854986</c:v>
                </c:pt>
                <c:pt idx="73">
                  <c:v>-0.37619047619045887</c:v>
                </c:pt>
                <c:pt idx="74">
                  <c:v>-0.54047619047618589</c:v>
                </c:pt>
                <c:pt idx="75">
                  <c:v>-0.47619047619047628</c:v>
                </c:pt>
                <c:pt idx="76">
                  <c:v>0.71190476190477481</c:v>
                </c:pt>
                <c:pt idx="77">
                  <c:v>0.22142857142859729</c:v>
                </c:pt>
                <c:pt idx="78">
                  <c:v>1.447619047619052</c:v>
                </c:pt>
                <c:pt idx="79">
                  <c:v>1.5238095238095235</c:v>
                </c:pt>
                <c:pt idx="80">
                  <c:v>1.5000000000000215</c:v>
                </c:pt>
                <c:pt idx="81">
                  <c:v>1.328571428571433</c:v>
                </c:pt>
                <c:pt idx="82">
                  <c:v>1.909523809523805</c:v>
                </c:pt>
                <c:pt idx="83">
                  <c:v>2.6595238095238267</c:v>
                </c:pt>
                <c:pt idx="84">
                  <c:v>2.1142857142857188</c:v>
                </c:pt>
                <c:pt idx="85">
                  <c:v>1.945238095238069</c:v>
                </c:pt>
                <c:pt idx="86">
                  <c:v>2.9238095238095285</c:v>
                </c:pt>
                <c:pt idx="87">
                  <c:v>2.4857142857142764</c:v>
                </c:pt>
                <c:pt idx="88">
                  <c:v>2.7523809523809608</c:v>
                </c:pt>
                <c:pt idx="89">
                  <c:v>2.7761904761904637</c:v>
                </c:pt>
                <c:pt idx="90">
                  <c:v>2.8333333333333117</c:v>
                </c:pt>
                <c:pt idx="91">
                  <c:v>3.5714285714285716</c:v>
                </c:pt>
                <c:pt idx="92">
                  <c:v>3.1357142857142595</c:v>
                </c:pt>
                <c:pt idx="93">
                  <c:v>3.9309523809523901</c:v>
                </c:pt>
                <c:pt idx="94">
                  <c:v>3.6880952380952507</c:v>
                </c:pt>
                <c:pt idx="95">
                  <c:v>3.264285714285744</c:v>
                </c:pt>
                <c:pt idx="96">
                  <c:v>3.0214285714285412</c:v>
                </c:pt>
                <c:pt idx="97">
                  <c:v>2.5642857142857101</c:v>
                </c:pt>
                <c:pt idx="98">
                  <c:v>1.7761904761905067</c:v>
                </c:pt>
                <c:pt idx="99">
                  <c:v>1.7071428571428529</c:v>
                </c:pt>
                <c:pt idx="100">
                  <c:v>2.0571428571428485</c:v>
                </c:pt>
                <c:pt idx="101">
                  <c:v>1.7023809523809306</c:v>
                </c:pt>
                <c:pt idx="102">
                  <c:v>1.5738095238095324</c:v>
                </c:pt>
                <c:pt idx="103">
                  <c:v>0.79285714285714703</c:v>
                </c:pt>
                <c:pt idx="104">
                  <c:v>1.2357142857142553</c:v>
                </c:pt>
                <c:pt idx="105">
                  <c:v>1.216666666666697</c:v>
                </c:pt>
                <c:pt idx="106">
                  <c:v>2.0452380952381084</c:v>
                </c:pt>
                <c:pt idx="107">
                  <c:v>1.6476190476190431</c:v>
                </c:pt>
                <c:pt idx="108">
                  <c:v>0.93333333333335078</c:v>
                </c:pt>
                <c:pt idx="109">
                  <c:v>0.90476190476190488</c:v>
                </c:pt>
                <c:pt idx="110">
                  <c:v>9.5238095238006082E-3</c:v>
                </c:pt>
                <c:pt idx="111">
                  <c:v>8.0952380952393696E-2</c:v>
                </c:pt>
                <c:pt idx="112">
                  <c:v>-0.50476190476194382</c:v>
                </c:pt>
                <c:pt idx="113">
                  <c:v>-6.42857142856883E-2</c:v>
                </c:pt>
                <c:pt idx="114">
                  <c:v>-0.28333333333332494</c:v>
                </c:pt>
                <c:pt idx="115">
                  <c:v>-0.86428571428569667</c:v>
                </c:pt>
                <c:pt idx="116">
                  <c:v>-0.29523809523812972</c:v>
                </c:pt>
                <c:pt idx="117">
                  <c:v>-0.60714285714277061</c:v>
                </c:pt>
                <c:pt idx="118">
                  <c:v>-0.15238095238098678</c:v>
                </c:pt>
                <c:pt idx="119">
                  <c:v>-0.81428571428573149</c:v>
                </c:pt>
                <c:pt idx="120">
                  <c:v>-0.28333333333332494</c:v>
                </c:pt>
                <c:pt idx="121">
                  <c:v>-1.0785714285714114</c:v>
                </c:pt>
                <c:pt idx="122">
                  <c:v>-0.32142857142852793</c:v>
                </c:pt>
                <c:pt idx="123">
                  <c:v>-0.39285714285718615</c:v>
                </c:pt>
                <c:pt idx="124">
                  <c:v>-0.18333333333335075</c:v>
                </c:pt>
                <c:pt idx="125">
                  <c:v>3.5714285714285886E-2</c:v>
                </c:pt>
                <c:pt idx="126">
                  <c:v>0.31428571428564506</c:v>
                </c:pt>
                <c:pt idx="127">
                  <c:v>0.7142857142856277</c:v>
                </c:pt>
                <c:pt idx="128">
                  <c:v>0.99523809523807782</c:v>
                </c:pt>
                <c:pt idx="129">
                  <c:v>0.65238095238098714</c:v>
                </c:pt>
                <c:pt idx="130">
                  <c:v>0.9571428571427878</c:v>
                </c:pt>
                <c:pt idx="131">
                  <c:v>0.77857142857144601</c:v>
                </c:pt>
                <c:pt idx="132">
                  <c:v>0.90476190476190488</c:v>
                </c:pt>
                <c:pt idx="133">
                  <c:v>1.1499999999999824</c:v>
                </c:pt>
                <c:pt idx="134">
                  <c:v>1.7547619047619218</c:v>
                </c:pt>
                <c:pt idx="135">
                  <c:v>1.871428571428537</c:v>
                </c:pt>
                <c:pt idx="136">
                  <c:v>2.2404761904761994</c:v>
                </c:pt>
                <c:pt idx="137">
                  <c:v>2.0071428571428833</c:v>
                </c:pt>
                <c:pt idx="138">
                  <c:v>2.6047619047618529</c:v>
                </c:pt>
                <c:pt idx="139">
                  <c:v>2.442857142857108</c:v>
                </c:pt>
                <c:pt idx="140">
                  <c:v>2.369047619047576</c:v>
                </c:pt>
                <c:pt idx="141">
                  <c:v>2.4357142857143117</c:v>
                </c:pt>
                <c:pt idx="142">
                  <c:v>2.5095238095237575</c:v>
                </c:pt>
                <c:pt idx="143">
                  <c:v>1.9142857142857059</c:v>
                </c:pt>
                <c:pt idx="144">
                  <c:v>2.3571428571428568</c:v>
                </c:pt>
                <c:pt idx="145">
                  <c:v>2.6928571428571511</c:v>
                </c:pt>
                <c:pt idx="146">
                  <c:v>2.3404761904762164</c:v>
                </c:pt>
                <c:pt idx="147">
                  <c:v>2.2214285714285542</c:v>
                </c:pt>
                <c:pt idx="148">
                  <c:v>3.0142857142857236</c:v>
                </c:pt>
                <c:pt idx="149">
                  <c:v>2.8642857142857405</c:v>
                </c:pt>
                <c:pt idx="150">
                  <c:v>3.4595238095238354</c:v>
                </c:pt>
                <c:pt idx="151">
                  <c:v>4.166666666666667</c:v>
                </c:pt>
                <c:pt idx="152">
                  <c:v>2.1261904761904158</c:v>
                </c:pt>
                <c:pt idx="153">
                  <c:v>2.3571428571428137</c:v>
                </c:pt>
                <c:pt idx="154">
                  <c:v>2.7738095238095237</c:v>
                </c:pt>
                <c:pt idx="155">
                  <c:v>1.9428571428571513</c:v>
                </c:pt>
                <c:pt idx="156">
                  <c:v>1.2214285714285973</c:v>
                </c:pt>
                <c:pt idx="157">
                  <c:v>0.44999999999994805</c:v>
                </c:pt>
                <c:pt idx="158">
                  <c:v>0.17142857142858889</c:v>
                </c:pt>
                <c:pt idx="159">
                  <c:v>0.27857142857140271</c:v>
                </c:pt>
                <c:pt idx="160">
                  <c:v>0.28333333333336785</c:v>
                </c:pt>
                <c:pt idx="161">
                  <c:v>-7.1428571428571175E-2</c:v>
                </c:pt>
                <c:pt idx="162">
                  <c:v>0.42380952380954984</c:v>
                </c:pt>
                <c:pt idx="163">
                  <c:v>-0.32857142857141142</c:v>
                </c:pt>
                <c:pt idx="164">
                  <c:v>-0.81428571428577479</c:v>
                </c:pt>
                <c:pt idx="165">
                  <c:v>-0.6976190476190739</c:v>
                </c:pt>
                <c:pt idx="166">
                  <c:v>-0.22619047619047628</c:v>
                </c:pt>
                <c:pt idx="167">
                  <c:v>-0.10952380952381802</c:v>
                </c:pt>
                <c:pt idx="168">
                  <c:v>-2.6190476190398233E-2</c:v>
                </c:pt>
                <c:pt idx="169">
                  <c:v>-0.47380952380947211</c:v>
                </c:pt>
                <c:pt idx="170">
                  <c:v>-0.38809523809522101</c:v>
                </c:pt>
                <c:pt idx="171">
                  <c:v>-0.84285714285713398</c:v>
                </c:pt>
                <c:pt idx="172">
                  <c:v>-1.2428571428571604</c:v>
                </c:pt>
                <c:pt idx="173">
                  <c:v>-1.5261904761904412</c:v>
                </c:pt>
                <c:pt idx="174">
                  <c:v>-0.94999999999994778</c:v>
                </c:pt>
                <c:pt idx="175">
                  <c:v>-0.96666666666667511</c:v>
                </c:pt>
                <c:pt idx="176">
                  <c:v>-0.69285714285719457</c:v>
                </c:pt>
                <c:pt idx="177">
                  <c:v>-7.380952380957595E-2</c:v>
                </c:pt>
                <c:pt idx="178">
                  <c:v>-0.24047619047624261</c:v>
                </c:pt>
                <c:pt idx="179">
                  <c:v>-0.21428571428567089</c:v>
                </c:pt>
                <c:pt idx="180">
                  <c:v>-0.25714285714283963</c:v>
                </c:pt>
                <c:pt idx="181">
                  <c:v>1.1404761904761385</c:v>
                </c:pt>
                <c:pt idx="182">
                  <c:v>1.0857142857142941</c:v>
                </c:pt>
                <c:pt idx="183">
                  <c:v>0.52142857142851951</c:v>
                </c:pt>
                <c:pt idx="184">
                  <c:v>0.88809523809526403</c:v>
                </c:pt>
                <c:pt idx="185">
                  <c:v>1.4761904761905196</c:v>
                </c:pt>
                <c:pt idx="186">
                  <c:v>1.2357142857142771</c:v>
                </c:pt>
                <c:pt idx="187">
                  <c:v>1.2285714285714804</c:v>
                </c:pt>
                <c:pt idx="188">
                  <c:v>2.171428571428502</c:v>
                </c:pt>
                <c:pt idx="189">
                  <c:v>2.4595238095237923</c:v>
                </c:pt>
                <c:pt idx="190">
                  <c:v>3.057142857142892</c:v>
                </c:pt>
                <c:pt idx="191">
                  <c:v>1.8952380952381469</c:v>
                </c:pt>
                <c:pt idx="192">
                  <c:v>2.8809523809523805</c:v>
                </c:pt>
                <c:pt idx="193">
                  <c:v>2.2357142857143204</c:v>
                </c:pt>
                <c:pt idx="194">
                  <c:v>2.2095238095238785</c:v>
                </c:pt>
                <c:pt idx="195">
                  <c:v>2.5285714285714458</c:v>
                </c:pt>
                <c:pt idx="196">
                  <c:v>2.69761904761903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979-4039-9B75-0BFB9C40AE02}"/>
            </c:ext>
          </c:extLst>
        </c:ser>
        <c:axId val="147959808"/>
        <c:axId val="147961344"/>
      </c:scatterChart>
      <c:valAx>
        <c:axId val="147959808"/>
        <c:scaling>
          <c:orientation val="minMax"/>
        </c:scaling>
        <c:axPos val="b"/>
        <c:majorGridlines/>
        <c:minorGridlines/>
        <c:numFmt formatCode="dd/mm/yyyy" sourceLinked="1"/>
        <c:tickLblPos val="nextTo"/>
        <c:txPr>
          <a:bodyPr rot="-1380000"/>
          <a:lstStyle/>
          <a:p>
            <a:pPr>
              <a:defRPr/>
            </a:pPr>
            <a:endParaRPr lang="cs-CZ"/>
          </a:p>
        </c:txPr>
        <c:crossAx val="147961344"/>
        <c:crosses val="autoZero"/>
        <c:crossBetween val="midCat"/>
        <c:majorUnit val="90"/>
        <c:minorUnit val="30"/>
      </c:valAx>
      <c:valAx>
        <c:axId val="147961344"/>
        <c:scaling>
          <c:orientation val="minMax"/>
        </c:scaling>
        <c:axPos val="l"/>
        <c:majorGridlines/>
        <c:numFmt formatCode="General" sourceLinked="1"/>
        <c:tickLblPos val="nextTo"/>
        <c:crossAx val="14795980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spotřeby elektřiny - ztráty/COP  (kW)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mikul!$V$4</c:f>
              <c:strCache>
                <c:ptCount val="1"/>
                <c:pt idx="0">
                  <c:v>kW celk</c:v>
                </c:pt>
              </c:strCache>
            </c:strRef>
          </c:tx>
          <c:marker>
            <c:symbol val="none"/>
          </c:marker>
          <c:xVal>
            <c:numRef>
              <c:f>mikul!$P$5:$P$64</c:f>
              <c:numCache>
                <c:formatCode>dd/mm/yyyy</c:formatCode>
                <c:ptCount val="6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</c:numCache>
            </c:numRef>
          </c:xVal>
          <c:yVal>
            <c:numRef>
              <c:f>mikul!$V$5:$V$64</c:f>
              <c:numCache>
                <c:formatCode>General</c:formatCode>
                <c:ptCount val="60"/>
                <c:pt idx="1">
                  <c:v>1.1155913978494623</c:v>
                </c:pt>
                <c:pt idx="2">
                  <c:v>1.0892857142857142</c:v>
                </c:pt>
                <c:pt idx="3">
                  <c:v>0.68548387096774199</c:v>
                </c:pt>
                <c:pt idx="4">
                  <c:v>0.45833333333333331</c:v>
                </c:pt>
                <c:pt idx="5">
                  <c:v>0.39112903225806456</c:v>
                </c:pt>
                <c:pt idx="6">
                  <c:v>0.34166666666666667</c:v>
                </c:pt>
                <c:pt idx="7">
                  <c:v>0.55913978494623651</c:v>
                </c:pt>
                <c:pt idx="8">
                  <c:v>0.532258064516129</c:v>
                </c:pt>
                <c:pt idx="9">
                  <c:v>0.8041666666666667</c:v>
                </c:pt>
                <c:pt idx="10">
                  <c:v>0.89650537634408611</c:v>
                </c:pt>
                <c:pt idx="11">
                  <c:v>1.0625</c:v>
                </c:pt>
                <c:pt idx="12">
                  <c:v>1.6451612903225805</c:v>
                </c:pt>
                <c:pt idx="13">
                  <c:v>0.9731182795698925</c:v>
                </c:pt>
                <c:pt idx="14">
                  <c:v>0.79597701149425293</c:v>
                </c:pt>
                <c:pt idx="15">
                  <c:v>0.60376138882048846</c:v>
                </c:pt>
                <c:pt idx="16">
                  <c:v>0.62388676844783819</c:v>
                </c:pt>
                <c:pt idx="17">
                  <c:v>0.60376138882048846</c:v>
                </c:pt>
                <c:pt idx="18">
                  <c:v>0.62388676844783819</c:v>
                </c:pt>
                <c:pt idx="19">
                  <c:v>0.70861035869654032</c:v>
                </c:pt>
                <c:pt idx="20">
                  <c:v>0.57795698924731176</c:v>
                </c:pt>
                <c:pt idx="21">
                  <c:v>0.625</c:v>
                </c:pt>
                <c:pt idx="22">
                  <c:v>1.021505376344086</c:v>
                </c:pt>
                <c:pt idx="23">
                  <c:v>1.1694444444444443</c:v>
                </c:pt>
                <c:pt idx="24">
                  <c:v>2.21505376344086</c:v>
                </c:pt>
                <c:pt idx="25">
                  <c:v>1.8440860215053763</c:v>
                </c:pt>
                <c:pt idx="26">
                  <c:v>0.87351190476190477</c:v>
                </c:pt>
                <c:pt idx="27">
                  <c:v>0.75268817204301086</c:v>
                </c:pt>
                <c:pt idx="28">
                  <c:v>0.6958333333333333</c:v>
                </c:pt>
                <c:pt idx="29">
                  <c:v>0.62768817204301075</c:v>
                </c:pt>
                <c:pt idx="30">
                  <c:v>0.4916666666666667</c:v>
                </c:pt>
                <c:pt idx="31">
                  <c:v>0.43951612903225812</c:v>
                </c:pt>
                <c:pt idx="32">
                  <c:v>0.43413978494623656</c:v>
                </c:pt>
                <c:pt idx="33">
                  <c:v>0.80694444444444446</c:v>
                </c:pt>
                <c:pt idx="34">
                  <c:v>0.98924731182795711</c:v>
                </c:pt>
                <c:pt idx="35">
                  <c:v>1.0569444444444445</c:v>
                </c:pt>
                <c:pt idx="36">
                  <c:v>1.4623655913978495</c:v>
                </c:pt>
                <c:pt idx="37">
                  <c:v>1.6424731182795698</c:v>
                </c:pt>
                <c:pt idx="38">
                  <c:v>1.3169642857142858</c:v>
                </c:pt>
                <c:pt idx="39">
                  <c:v>0.61290322580645162</c:v>
                </c:pt>
                <c:pt idx="40">
                  <c:v>0.59722222222222221</c:v>
                </c:pt>
                <c:pt idx="41">
                  <c:v>0.58467741935483863</c:v>
                </c:pt>
                <c:pt idx="42">
                  <c:v>0.61805555555555558</c:v>
                </c:pt>
                <c:pt idx="43">
                  <c:v>0.59139784946236551</c:v>
                </c:pt>
                <c:pt idx="44">
                  <c:v>0.60483870967741926</c:v>
                </c:pt>
                <c:pt idx="45">
                  <c:v>0.625</c:v>
                </c:pt>
                <c:pt idx="46">
                  <c:v>0.87365591397849474</c:v>
                </c:pt>
                <c:pt idx="47">
                  <c:v>1.1805555555555558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C225-4036-99D2-96510D25D385}"/>
            </c:ext>
          </c:extLst>
        </c:ser>
        <c:ser>
          <c:idx val="1"/>
          <c:order val="1"/>
          <c:tx>
            <c:strRef>
              <c:f>mikul!$W$4</c:f>
              <c:strCache>
                <c:ptCount val="1"/>
                <c:pt idx="0">
                  <c:v>TZ</c:v>
                </c:pt>
              </c:strCache>
            </c:strRef>
          </c:tx>
          <c:marker>
            <c:symbol val="none"/>
          </c:marker>
          <c:xVal>
            <c:numRef>
              <c:f>mikul!$P$5:$P$64</c:f>
              <c:numCache>
                <c:formatCode>dd/mm/yyyy</c:formatCode>
                <c:ptCount val="6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</c:numCache>
            </c:numRef>
          </c:xVal>
          <c:yVal>
            <c:numRef>
              <c:f>mikul!$W$5:$W$64</c:f>
              <c:numCache>
                <c:formatCode>General</c:formatCode>
                <c:ptCount val="60"/>
                <c:pt idx="2">
                  <c:v>1.6532999999999998</c:v>
                </c:pt>
                <c:pt idx="3">
                  <c:v>0.72830000000000017</c:v>
                </c:pt>
                <c:pt idx="4">
                  <c:v>0.6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0.7874935483870964</c:v>
                </c:pt>
                <c:pt idx="10">
                  <c:v>0.96463333333333967</c:v>
                </c:pt>
                <c:pt idx="11">
                  <c:v>1.1629774193548372</c:v>
                </c:pt>
                <c:pt idx="12">
                  <c:v>1.6787838709677407</c:v>
                </c:pt>
                <c:pt idx="13">
                  <c:v>1.3129551724137922</c:v>
                </c:pt>
                <c:pt idx="14">
                  <c:v>1.2129774193548402</c:v>
                </c:pt>
                <c:pt idx="15">
                  <c:v>0.75063333333333415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0.81071935483871604</c:v>
                </c:pt>
                <c:pt idx="22">
                  <c:v>1.3242999999999976</c:v>
                </c:pt>
                <c:pt idx="23">
                  <c:v>1.5997516129032217</c:v>
                </c:pt>
                <c:pt idx="24">
                  <c:v>2.1126548387096791</c:v>
                </c:pt>
                <c:pt idx="25">
                  <c:v>1.4236571428571454</c:v>
                </c:pt>
                <c:pt idx="26">
                  <c:v>0.89846129032257771</c:v>
                </c:pt>
                <c:pt idx="27">
                  <c:v>0.84563333333333268</c:v>
                </c:pt>
                <c:pt idx="28">
                  <c:v>0.6</c:v>
                </c:pt>
                <c:pt idx="29">
                  <c:v>0.6</c:v>
                </c:pt>
                <c:pt idx="30">
                  <c:v>0.6</c:v>
                </c:pt>
                <c:pt idx="31">
                  <c:v>0.6</c:v>
                </c:pt>
                <c:pt idx="32">
                  <c:v>0.6</c:v>
                </c:pt>
                <c:pt idx="33">
                  <c:v>0.6</c:v>
                </c:pt>
                <c:pt idx="34">
                  <c:v>1.1926333333333248</c:v>
                </c:pt>
                <c:pt idx="35">
                  <c:v>1.4252354838709536</c:v>
                </c:pt>
                <c:pt idx="36">
                  <c:v>1.3284612903225843</c:v>
                </c:pt>
                <c:pt idx="37">
                  <c:v>1.908300000000005</c:v>
                </c:pt>
                <c:pt idx="38">
                  <c:v>1.4149129032257957</c:v>
                </c:pt>
                <c:pt idx="39">
                  <c:v>0.6</c:v>
                </c:pt>
                <c:pt idx="40">
                  <c:v>0.6</c:v>
                </c:pt>
                <c:pt idx="41">
                  <c:v>0.6</c:v>
                </c:pt>
                <c:pt idx="42">
                  <c:v>0.6</c:v>
                </c:pt>
                <c:pt idx="43">
                  <c:v>0.6</c:v>
                </c:pt>
                <c:pt idx="44">
                  <c:v>0.6</c:v>
                </c:pt>
                <c:pt idx="45">
                  <c:v>0.6</c:v>
                </c:pt>
                <c:pt idx="46">
                  <c:v>1.2246333333333321</c:v>
                </c:pt>
                <c:pt idx="47">
                  <c:v>1.3303967741935705</c:v>
                </c:pt>
                <c:pt idx="48">
                  <c:v>1.6545903225806557</c:v>
                </c:pt>
                <c:pt idx="49">
                  <c:v>1.3465142857142807</c:v>
                </c:pt>
                <c:pt idx="50">
                  <c:v>0.91717096774194484</c:v>
                </c:pt>
                <c:pt idx="51">
                  <c:v>0.6</c:v>
                </c:pt>
                <c:pt idx="52">
                  <c:v>0.6</c:v>
                </c:pt>
                <c:pt idx="53">
                  <c:v>0.6</c:v>
                </c:pt>
                <c:pt idx="54">
                  <c:v>0.6</c:v>
                </c:pt>
                <c:pt idx="55">
                  <c:v>0.6</c:v>
                </c:pt>
                <c:pt idx="56">
                  <c:v>0.6</c:v>
                </c:pt>
                <c:pt idx="57">
                  <c:v>0.63233225806452786</c:v>
                </c:pt>
                <c:pt idx="58">
                  <c:v>1.0353000000000074</c:v>
                </c:pt>
                <c:pt idx="59">
                  <c:v>1.4032999999999998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C225-4036-99D2-96510D25D385}"/>
            </c:ext>
          </c:extLst>
        </c:ser>
        <c:axId val="148055552"/>
        <c:axId val="148057088"/>
      </c:scatterChart>
      <c:valAx>
        <c:axId val="148055552"/>
        <c:scaling>
          <c:orientation val="minMax"/>
        </c:scaling>
        <c:axPos val="b"/>
        <c:majorGridlines/>
        <c:numFmt formatCode="dd/mm/yyyy" sourceLinked="1"/>
        <c:tickLblPos val="nextTo"/>
        <c:crossAx val="148057088"/>
        <c:crosses val="autoZero"/>
        <c:crossBetween val="midCat"/>
        <c:majorUnit val="182.5"/>
        <c:minorUnit val="30"/>
      </c:valAx>
      <c:valAx>
        <c:axId val="148057088"/>
        <c:scaling>
          <c:orientation val="minMax"/>
        </c:scaling>
        <c:axPos val="l"/>
        <c:majorGridlines/>
        <c:numFmt formatCode="General" sourceLinked="1"/>
        <c:tickLblPos val="nextTo"/>
        <c:crossAx val="14805555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asi</a:t>
            </a:r>
            <a:r>
              <a:rPr lang="cs-CZ" baseline="0"/>
              <a:t> výstup TČ</a:t>
            </a:r>
            <a:endParaRPr lang="cs-CZ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mikul!$D$76</c:f>
              <c:strCache>
                <c:ptCount val="1"/>
                <c:pt idx="0">
                  <c:v>TZ</c:v>
                </c:pt>
              </c:strCache>
            </c:strRef>
          </c:tx>
          <c:marker>
            <c:symbol val="none"/>
          </c:marker>
          <c:xVal>
            <c:numRef>
              <c:f>mikul!$A$77:$A$123</c:f>
              <c:numCache>
                <c:formatCode>dd/mm/yyyy</c:formatCode>
                <c:ptCount val="47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</c:numCache>
            </c:numRef>
          </c:xVal>
          <c:yVal>
            <c:numRef>
              <c:f>mikul!$D$77:$D$123</c:f>
              <c:numCache>
                <c:formatCode>General</c:formatCode>
                <c:ptCount val="47"/>
                <c:pt idx="2">
                  <c:v>1.5083333333333337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1.1000000000000001</c:v>
                </c:pt>
                <c:pt idx="7">
                  <c:v>1.1000000000000001</c:v>
                </c:pt>
                <c:pt idx="8">
                  <c:v>1.6464516129032249</c:v>
                </c:pt>
                <c:pt idx="9">
                  <c:v>2.0597777777777928</c:v>
                </c:pt>
                <c:pt idx="10">
                  <c:v>2.5225806451612871</c:v>
                </c:pt>
                <c:pt idx="11">
                  <c:v>3.7261290322580618</c:v>
                </c:pt>
                <c:pt idx="12">
                  <c:v>2.8725287356321818</c:v>
                </c:pt>
                <c:pt idx="13">
                  <c:v>2.6392473118279609</c:v>
                </c:pt>
                <c:pt idx="14">
                  <c:v>1.5604444444444465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1.1000000000000001</c:v>
                </c:pt>
                <c:pt idx="20">
                  <c:v>1.7006451612903377</c:v>
                </c:pt>
                <c:pt idx="21">
                  <c:v>2.8989999999999947</c:v>
                </c:pt>
                <c:pt idx="22">
                  <c:v>3.5417204301075174</c:v>
                </c:pt>
                <c:pt idx="23">
                  <c:v>4.7384946236559182</c:v>
                </c:pt>
                <c:pt idx="24">
                  <c:v>3.1308333333333396</c:v>
                </c:pt>
                <c:pt idx="25">
                  <c:v>1.9053763440860148</c:v>
                </c:pt>
                <c:pt idx="26">
                  <c:v>1.7821111111111096</c:v>
                </c:pt>
                <c:pt idx="27">
                  <c:v>1.1000000000000001</c:v>
                </c:pt>
                <c:pt idx="28">
                  <c:v>1.1000000000000001</c:v>
                </c:pt>
                <c:pt idx="29">
                  <c:v>1.1000000000000001</c:v>
                </c:pt>
                <c:pt idx="30">
                  <c:v>1.1000000000000001</c:v>
                </c:pt>
                <c:pt idx="31">
                  <c:v>1.1000000000000001</c:v>
                </c:pt>
                <c:pt idx="32">
                  <c:v>1.1444086021505213</c:v>
                </c:pt>
                <c:pt idx="33">
                  <c:v>2.5917777777777582</c:v>
                </c:pt>
                <c:pt idx="34">
                  <c:v>3.1345161290322254</c:v>
                </c:pt>
                <c:pt idx="35">
                  <c:v>2.9087096774193633</c:v>
                </c:pt>
                <c:pt idx="36">
                  <c:v>4.2616666666666791</c:v>
                </c:pt>
                <c:pt idx="37">
                  <c:v>3.1104301075268572</c:v>
                </c:pt>
                <c:pt idx="38">
                  <c:v>1.1000000000000001</c:v>
                </c:pt>
                <c:pt idx="39">
                  <c:v>1.1000000000000001</c:v>
                </c:pt>
                <c:pt idx="40">
                  <c:v>1.1000000000000001</c:v>
                </c:pt>
                <c:pt idx="41">
                  <c:v>1.1000000000000001</c:v>
                </c:pt>
                <c:pt idx="42">
                  <c:v>1.1000000000000001</c:v>
                </c:pt>
                <c:pt idx="43">
                  <c:v>1.1000000000000001</c:v>
                </c:pt>
                <c:pt idx="44">
                  <c:v>1.1000000000000001</c:v>
                </c:pt>
                <c:pt idx="45">
                  <c:v>2.6664444444444415</c:v>
                </c:pt>
                <c:pt idx="46">
                  <c:v>2.9132258064516652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1AB-4F0E-9231-8BCF22C23385}"/>
            </c:ext>
          </c:extLst>
        </c:ser>
        <c:ser>
          <c:idx val="1"/>
          <c:order val="1"/>
          <c:tx>
            <c:strRef>
              <c:f>mikul!$E$76</c:f>
              <c:strCache>
                <c:ptCount val="1"/>
                <c:pt idx="0">
                  <c:v>spotř</c:v>
                </c:pt>
              </c:strCache>
            </c:strRef>
          </c:tx>
          <c:marker>
            <c:symbol val="none"/>
          </c:marker>
          <c:xVal>
            <c:numRef>
              <c:f>mikul!$A$77:$A$123</c:f>
              <c:numCache>
                <c:formatCode>dd/mm/yyyy</c:formatCode>
                <c:ptCount val="47"/>
                <c:pt idx="0">
                  <c:v>42036</c:v>
                </c:pt>
                <c:pt idx="1">
                  <c:v>42064</c:v>
                </c:pt>
                <c:pt idx="2">
                  <c:v>42095</c:v>
                </c:pt>
                <c:pt idx="3">
                  <c:v>42125</c:v>
                </c:pt>
                <c:pt idx="4">
                  <c:v>42156</c:v>
                </c:pt>
                <c:pt idx="5">
                  <c:v>42186</c:v>
                </c:pt>
                <c:pt idx="6">
                  <c:v>42217</c:v>
                </c:pt>
                <c:pt idx="7">
                  <c:v>42248</c:v>
                </c:pt>
                <c:pt idx="8">
                  <c:v>42278</c:v>
                </c:pt>
                <c:pt idx="9">
                  <c:v>42309</c:v>
                </c:pt>
                <c:pt idx="10">
                  <c:v>42339</c:v>
                </c:pt>
                <c:pt idx="11">
                  <c:v>42370</c:v>
                </c:pt>
                <c:pt idx="12">
                  <c:v>42401</c:v>
                </c:pt>
                <c:pt idx="13">
                  <c:v>42430</c:v>
                </c:pt>
                <c:pt idx="14">
                  <c:v>42461</c:v>
                </c:pt>
                <c:pt idx="15">
                  <c:v>42491</c:v>
                </c:pt>
                <c:pt idx="16">
                  <c:v>42522</c:v>
                </c:pt>
                <c:pt idx="17">
                  <c:v>42552</c:v>
                </c:pt>
                <c:pt idx="18">
                  <c:v>42583</c:v>
                </c:pt>
                <c:pt idx="19">
                  <c:v>42614</c:v>
                </c:pt>
                <c:pt idx="20">
                  <c:v>42644</c:v>
                </c:pt>
                <c:pt idx="21">
                  <c:v>42675</c:v>
                </c:pt>
                <c:pt idx="22">
                  <c:v>42705</c:v>
                </c:pt>
                <c:pt idx="23">
                  <c:v>42736</c:v>
                </c:pt>
                <c:pt idx="24">
                  <c:v>42767</c:v>
                </c:pt>
                <c:pt idx="25">
                  <c:v>42795</c:v>
                </c:pt>
                <c:pt idx="26">
                  <c:v>42826</c:v>
                </c:pt>
                <c:pt idx="27">
                  <c:v>42856</c:v>
                </c:pt>
                <c:pt idx="28">
                  <c:v>42887</c:v>
                </c:pt>
                <c:pt idx="29">
                  <c:v>42917</c:v>
                </c:pt>
                <c:pt idx="30">
                  <c:v>42948</c:v>
                </c:pt>
                <c:pt idx="31">
                  <c:v>42979</c:v>
                </c:pt>
                <c:pt idx="32">
                  <c:v>43009</c:v>
                </c:pt>
                <c:pt idx="33">
                  <c:v>43040</c:v>
                </c:pt>
                <c:pt idx="34">
                  <c:v>43070</c:v>
                </c:pt>
                <c:pt idx="35">
                  <c:v>43101</c:v>
                </c:pt>
                <c:pt idx="36">
                  <c:v>43132</c:v>
                </c:pt>
                <c:pt idx="37">
                  <c:v>43160</c:v>
                </c:pt>
                <c:pt idx="38">
                  <c:v>43191</c:v>
                </c:pt>
                <c:pt idx="39">
                  <c:v>43221</c:v>
                </c:pt>
                <c:pt idx="40">
                  <c:v>43252</c:v>
                </c:pt>
                <c:pt idx="41">
                  <c:v>43282</c:v>
                </c:pt>
                <c:pt idx="42">
                  <c:v>43313</c:v>
                </c:pt>
                <c:pt idx="43">
                  <c:v>43344</c:v>
                </c:pt>
                <c:pt idx="44">
                  <c:v>43374</c:v>
                </c:pt>
                <c:pt idx="45">
                  <c:v>43405</c:v>
                </c:pt>
                <c:pt idx="46">
                  <c:v>43435</c:v>
                </c:pt>
              </c:numCache>
            </c:numRef>
          </c:xVal>
          <c:yVal>
            <c:numRef>
              <c:f>mikul!$E$77:$E$123</c:f>
              <c:numCache>
                <c:formatCode>General</c:formatCode>
                <c:ptCount val="47"/>
                <c:pt idx="2">
                  <c:v>1.5435483870967743</c:v>
                </c:pt>
                <c:pt idx="3">
                  <c:v>1.022777777777778</c:v>
                </c:pt>
                <c:pt idx="4">
                  <c:v>0.87446236559139789</c:v>
                </c:pt>
                <c:pt idx="5">
                  <c:v>0.76500000000000012</c:v>
                </c:pt>
                <c:pt idx="6">
                  <c:v>1.252688172043011</c:v>
                </c:pt>
                <c:pt idx="7">
                  <c:v>1.19247311827957</c:v>
                </c:pt>
                <c:pt idx="8">
                  <c:v>1.8013888888888889</c:v>
                </c:pt>
                <c:pt idx="9">
                  <c:v>2.0045698924731181</c:v>
                </c:pt>
                <c:pt idx="10">
                  <c:v>2.374166666666667</c:v>
                </c:pt>
                <c:pt idx="11">
                  <c:v>3.6298387096774198</c:v>
                </c:pt>
                <c:pt idx="12">
                  <c:v>2.1494623655913982</c:v>
                </c:pt>
                <c:pt idx="13">
                  <c:v>1.7625000000000002</c:v>
                </c:pt>
                <c:pt idx="14">
                  <c:v>1.2779457030288126</c:v>
                </c:pt>
                <c:pt idx="15">
                  <c:v>1.3205438931297733</c:v>
                </c:pt>
                <c:pt idx="16">
                  <c:v>1.2779457030288126</c:v>
                </c:pt>
                <c:pt idx="17">
                  <c:v>1.3205438931297733</c:v>
                </c:pt>
                <c:pt idx="18">
                  <c:v>1.5020478330460392</c:v>
                </c:pt>
                <c:pt idx="19">
                  <c:v>1.2193548387096773</c:v>
                </c:pt>
                <c:pt idx="20">
                  <c:v>1.3333333333333333</c:v>
                </c:pt>
                <c:pt idx="21">
                  <c:v>2.1604838709677421</c:v>
                </c:pt>
                <c:pt idx="22">
                  <c:v>2.4698333333333333</c:v>
                </c:pt>
                <c:pt idx="23">
                  <c:v>4.6849462365591394</c:v>
                </c:pt>
                <c:pt idx="24">
                  <c:v>3.8694892473118281</c:v>
                </c:pt>
                <c:pt idx="25">
                  <c:v>1.8504613095238092</c:v>
                </c:pt>
                <c:pt idx="26">
                  <c:v>1.6001612903225804</c:v>
                </c:pt>
                <c:pt idx="27">
                  <c:v>1.4806527777777776</c:v>
                </c:pt>
                <c:pt idx="28">
                  <c:v>1.3343951612903224</c:v>
                </c:pt>
                <c:pt idx="29">
                  <c:v>1.0427222222222221</c:v>
                </c:pt>
                <c:pt idx="30">
                  <c:v>0.93708333333333327</c:v>
                </c:pt>
                <c:pt idx="31">
                  <c:v>0.92829301075268811</c:v>
                </c:pt>
                <c:pt idx="32">
                  <c:v>1.721125</c:v>
                </c:pt>
                <c:pt idx="33">
                  <c:v>2.0937365591397845</c:v>
                </c:pt>
                <c:pt idx="34">
                  <c:v>2.2345972222222219</c:v>
                </c:pt>
                <c:pt idx="35">
                  <c:v>3.0941397849462366</c:v>
                </c:pt>
                <c:pt idx="36">
                  <c:v>3.4591666666666665</c:v>
                </c:pt>
                <c:pt idx="37">
                  <c:v>2.7873958333333331</c:v>
                </c:pt>
                <c:pt idx="38">
                  <c:v>1.2983333333333331</c:v>
                </c:pt>
                <c:pt idx="39">
                  <c:v>1.2604166666666665</c:v>
                </c:pt>
                <c:pt idx="40">
                  <c:v>1.2375672043010753</c:v>
                </c:pt>
                <c:pt idx="41">
                  <c:v>1.3156249999999998</c:v>
                </c:pt>
                <c:pt idx="42">
                  <c:v>1.2553763440860213</c:v>
                </c:pt>
                <c:pt idx="43">
                  <c:v>1.2909946236559138</c:v>
                </c:pt>
                <c:pt idx="44">
                  <c:v>1.3340277777777778</c:v>
                </c:pt>
                <c:pt idx="45">
                  <c:v>1.8474462365591398</c:v>
                </c:pt>
                <c:pt idx="46">
                  <c:v>2.497722222222222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1AB-4F0E-9231-8BCF22C23385}"/>
            </c:ext>
          </c:extLst>
        </c:ser>
        <c:axId val="148186240"/>
        <c:axId val="148187776"/>
      </c:scatterChart>
      <c:valAx>
        <c:axId val="148186240"/>
        <c:scaling>
          <c:orientation val="minMax"/>
        </c:scaling>
        <c:axPos val="b"/>
        <c:numFmt formatCode="dd/mm/yyyy" sourceLinked="1"/>
        <c:tickLblPos val="nextTo"/>
        <c:crossAx val="148187776"/>
        <c:crosses val="autoZero"/>
        <c:crossBetween val="midCat"/>
      </c:valAx>
      <c:valAx>
        <c:axId val="148187776"/>
        <c:scaling>
          <c:orientation val="minMax"/>
        </c:scaling>
        <c:axPos val="l"/>
        <c:majorGridlines/>
        <c:numFmt formatCode="General" sourceLinked="1"/>
        <c:tickLblPos val="nextTo"/>
        <c:crossAx val="14818624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Porovnání spotřeby plynu s TZ domu  (kW)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Radek!$E$4</c:f>
              <c:strCache>
                <c:ptCount val="1"/>
                <c:pt idx="0">
                  <c:v>plyn kW</c:v>
                </c:pt>
              </c:strCache>
            </c:strRef>
          </c:tx>
          <c:xVal>
            <c:numRef>
              <c:f>Radek!$A$24:$A$40</c:f>
              <c:numCache>
                <c:formatCode>dd/mm/yyyy</c:formatCode>
                <c:ptCount val="17"/>
                <c:pt idx="0">
                  <c:v>43742</c:v>
                </c:pt>
                <c:pt idx="1">
                  <c:v>43751</c:v>
                </c:pt>
                <c:pt idx="2">
                  <c:v>43764</c:v>
                </c:pt>
                <c:pt idx="3">
                  <c:v>43769</c:v>
                </c:pt>
                <c:pt idx="4">
                  <c:v>43780</c:v>
                </c:pt>
                <c:pt idx="5">
                  <c:v>43812</c:v>
                </c:pt>
                <c:pt idx="6">
                  <c:v>43832</c:v>
                </c:pt>
                <c:pt idx="7">
                  <c:v>43968</c:v>
                </c:pt>
                <c:pt idx="8">
                  <c:v>44075</c:v>
                </c:pt>
                <c:pt idx="9">
                  <c:v>44106</c:v>
                </c:pt>
                <c:pt idx="10">
                  <c:v>44157</c:v>
                </c:pt>
                <c:pt idx="11">
                  <c:v>44179</c:v>
                </c:pt>
                <c:pt idx="12">
                  <c:v>44206</c:v>
                </c:pt>
                <c:pt idx="13">
                  <c:v>44220</c:v>
                </c:pt>
                <c:pt idx="14">
                  <c:v>44239</c:v>
                </c:pt>
                <c:pt idx="15">
                  <c:v>44248</c:v>
                </c:pt>
                <c:pt idx="16">
                  <c:v>44259</c:v>
                </c:pt>
              </c:numCache>
            </c:numRef>
          </c:xVal>
          <c:yVal>
            <c:numRef>
              <c:f>Radek!$E$24:$E$40</c:f>
              <c:numCache>
                <c:formatCode>General</c:formatCode>
                <c:ptCount val="17"/>
                <c:pt idx="0">
                  <c:v>9.5958658854166656E-2</c:v>
                </c:pt>
                <c:pt idx="1">
                  <c:v>1.788287037037037</c:v>
                </c:pt>
                <c:pt idx="2">
                  <c:v>1.6290064102564104</c:v>
                </c:pt>
                <c:pt idx="3">
                  <c:v>2.1177083333333333</c:v>
                </c:pt>
                <c:pt idx="4">
                  <c:v>2.6567613636363632</c:v>
                </c:pt>
                <c:pt idx="5">
                  <c:v>3.070677083333333</c:v>
                </c:pt>
                <c:pt idx="6">
                  <c:v>3.7906979166666659</c:v>
                </c:pt>
                <c:pt idx="7">
                  <c:v>2.8153063725490193</c:v>
                </c:pt>
                <c:pt idx="8">
                  <c:v>0</c:v>
                </c:pt>
                <c:pt idx="9">
                  <c:v>0.72411962365591387</c:v>
                </c:pt>
                <c:pt idx="10">
                  <c:v>1.8021282679738559</c:v>
                </c:pt>
                <c:pt idx="11">
                  <c:v>3.8696306818181814</c:v>
                </c:pt>
                <c:pt idx="12">
                  <c:v>3.5295138888888888</c:v>
                </c:pt>
                <c:pt idx="13">
                  <c:v>4.1749107142857138</c:v>
                </c:pt>
                <c:pt idx="14">
                  <c:v>4.4360416666666662</c:v>
                </c:pt>
                <c:pt idx="15">
                  <c:v>4.2354166666666666</c:v>
                </c:pt>
                <c:pt idx="16">
                  <c:v>3.4653409090909082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4185-4B23-A946-AD886BB1B794}"/>
            </c:ext>
          </c:extLst>
        </c:ser>
        <c:ser>
          <c:idx val="1"/>
          <c:order val="1"/>
          <c:tx>
            <c:strRef>
              <c:f>Radek!$F$4</c:f>
              <c:strCache>
                <c:ptCount val="1"/>
                <c:pt idx="0">
                  <c:v>TZ kW</c:v>
                </c:pt>
              </c:strCache>
            </c:strRef>
          </c:tx>
          <c:xVal>
            <c:numRef>
              <c:f>Radek!$A$24:$A$40</c:f>
              <c:numCache>
                <c:formatCode>dd/mm/yyyy</c:formatCode>
                <c:ptCount val="17"/>
                <c:pt idx="0">
                  <c:v>43742</c:v>
                </c:pt>
                <c:pt idx="1">
                  <c:v>43751</c:v>
                </c:pt>
                <c:pt idx="2">
                  <c:v>43764</c:v>
                </c:pt>
                <c:pt idx="3">
                  <c:v>43769</c:v>
                </c:pt>
                <c:pt idx="4">
                  <c:v>43780</c:v>
                </c:pt>
                <c:pt idx="5">
                  <c:v>43812</c:v>
                </c:pt>
                <c:pt idx="6">
                  <c:v>43832</c:v>
                </c:pt>
                <c:pt idx="7">
                  <c:v>43968</c:v>
                </c:pt>
                <c:pt idx="8">
                  <c:v>44075</c:v>
                </c:pt>
                <c:pt idx="9">
                  <c:v>44106</c:v>
                </c:pt>
                <c:pt idx="10">
                  <c:v>44157</c:v>
                </c:pt>
                <c:pt idx="11">
                  <c:v>44179</c:v>
                </c:pt>
                <c:pt idx="12">
                  <c:v>44206</c:v>
                </c:pt>
                <c:pt idx="13">
                  <c:v>44220</c:v>
                </c:pt>
                <c:pt idx="14">
                  <c:v>44239</c:v>
                </c:pt>
                <c:pt idx="15">
                  <c:v>44248</c:v>
                </c:pt>
                <c:pt idx="16">
                  <c:v>44259</c:v>
                </c:pt>
              </c:numCache>
            </c:numRef>
          </c:xVal>
          <c:yVal>
            <c:numRef>
              <c:f>Radek!$F$24:$F$40</c:f>
              <c:numCache>
                <c:formatCode>General</c:formatCode>
                <c:ptCount val="17"/>
                <c:pt idx="0">
                  <c:v>-1.3033854166661741E-2</c:v>
                </c:pt>
                <c:pt idx="1">
                  <c:v>1.8031481481481832</c:v>
                </c:pt>
                <c:pt idx="2">
                  <c:v>1.4616666666667397</c:v>
                </c:pt>
                <c:pt idx="3">
                  <c:v>2.8990000000000631</c:v>
                </c:pt>
                <c:pt idx="4">
                  <c:v>2.7260606060606345</c:v>
                </c:pt>
                <c:pt idx="5">
                  <c:v>3.1145833333333335</c:v>
                </c:pt>
                <c:pt idx="6">
                  <c:v>3.4699166666668164</c:v>
                </c:pt>
                <c:pt idx="7">
                  <c:v>2.7231495098039202</c:v>
                </c:pt>
                <c:pt idx="8">
                  <c:v>0.13182242990652443</c:v>
                </c:pt>
                <c:pt idx="9">
                  <c:v>0.73456989247318449</c:v>
                </c:pt>
                <c:pt idx="10">
                  <c:v>2.2779738562091074</c:v>
                </c:pt>
                <c:pt idx="11">
                  <c:v>3.6419696969697251</c:v>
                </c:pt>
                <c:pt idx="12">
                  <c:v>3.717037037036985</c:v>
                </c:pt>
                <c:pt idx="13">
                  <c:v>4.0733333333333439</c:v>
                </c:pt>
                <c:pt idx="14">
                  <c:v>4.4428070175439265</c:v>
                </c:pt>
                <c:pt idx="15">
                  <c:v>4.3983333333332642</c:v>
                </c:pt>
                <c:pt idx="16">
                  <c:v>3.5631818181817749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4185-4B23-A946-AD886BB1B794}"/>
            </c:ext>
          </c:extLst>
        </c:ser>
        <c:axId val="148247296"/>
        <c:axId val="148248832"/>
      </c:scatterChart>
      <c:valAx>
        <c:axId val="148247296"/>
        <c:scaling>
          <c:orientation val="minMax"/>
        </c:scaling>
        <c:axPos val="b"/>
        <c:majorGridlines/>
        <c:minorGridlines/>
        <c:numFmt formatCode="dd/mm/yyyy" sourceLinked="1"/>
        <c:tickLblPos val="nextTo"/>
        <c:txPr>
          <a:bodyPr rot="-1200000"/>
          <a:lstStyle/>
          <a:p>
            <a:pPr>
              <a:defRPr/>
            </a:pPr>
            <a:endParaRPr lang="cs-CZ"/>
          </a:p>
        </c:txPr>
        <c:crossAx val="148248832"/>
        <c:crosses val="autoZero"/>
        <c:crossBetween val="midCat"/>
        <c:majorUnit val="90"/>
        <c:minorUnit val="30"/>
      </c:valAx>
      <c:valAx>
        <c:axId val="148248832"/>
        <c:scaling>
          <c:orientation val="minMax"/>
        </c:scaling>
        <c:axPos val="l"/>
        <c:majorGridlines/>
        <c:numFmt formatCode="General" sourceLinked="1"/>
        <c:tickLblPos val="nextTo"/>
        <c:crossAx val="14824729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Ztráty obálkovou metodou ve vztahu k DS15 U= 73W/K   /  Celkový příkon domu (kW)</a:t>
            </a:r>
            <a:endParaRPr lang="en-US" sz="1000" baseline="0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Novak!$P$3</c:f>
              <c:strCache>
                <c:ptCount val="1"/>
                <c:pt idx="0">
                  <c:v>podlahy kW</c:v>
                </c:pt>
              </c:strCache>
            </c:strRef>
          </c:tx>
          <c:marker>
            <c:symbol val="none"/>
          </c:marker>
          <c:xVal>
            <c:numRef>
              <c:f>Novak!$A$4:$A$45</c:f>
              <c:numCache>
                <c:formatCode>mmm/yy</c:formatCode>
                <c:ptCount val="42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</c:numCache>
            </c:numRef>
          </c:xVal>
          <c:yVal>
            <c:numRef>
              <c:f>Novak!$P$4:$P$45</c:f>
              <c:numCache>
                <c:formatCode>General</c:formatCode>
                <c:ptCount val="42"/>
                <c:pt idx="2">
                  <c:v>0.18194444444444444</c:v>
                </c:pt>
                <c:pt idx="3">
                  <c:v>0.3</c:v>
                </c:pt>
                <c:pt idx="4">
                  <c:v>0.45833333333333331</c:v>
                </c:pt>
                <c:pt idx="5">
                  <c:v>0.59722222222222221</c:v>
                </c:pt>
                <c:pt idx="6">
                  <c:v>0.51388888888888895</c:v>
                </c:pt>
                <c:pt idx="14">
                  <c:v>0.3979166666666667</c:v>
                </c:pt>
                <c:pt idx="15">
                  <c:v>0.41875000000000001</c:v>
                </c:pt>
                <c:pt idx="16">
                  <c:v>0.75138888888888899</c:v>
                </c:pt>
                <c:pt idx="17">
                  <c:v>0.36527777777777781</c:v>
                </c:pt>
                <c:pt idx="18">
                  <c:v>0.30763888888888891</c:v>
                </c:pt>
                <c:pt idx="26">
                  <c:v>0.46111111111111108</c:v>
                </c:pt>
                <c:pt idx="27">
                  <c:v>0.47680555555555554</c:v>
                </c:pt>
                <c:pt idx="28">
                  <c:v>0.625</c:v>
                </c:pt>
                <c:pt idx="29">
                  <c:v>0.53888888888888886</c:v>
                </c:pt>
                <c:pt idx="38">
                  <c:v>0.11388888888888889</c:v>
                </c:pt>
                <c:pt idx="39">
                  <c:v>0.3972222222222222</c:v>
                </c:pt>
                <c:pt idx="40">
                  <c:v>0.65694444444444444</c:v>
                </c:pt>
                <c:pt idx="41">
                  <c:v>0.51944444444444449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A54-4CA2-9FE0-D69EE7FE4736}"/>
            </c:ext>
          </c:extLst>
        </c:ser>
        <c:ser>
          <c:idx val="1"/>
          <c:order val="1"/>
          <c:tx>
            <c:strRef>
              <c:f>Novak!$Q$3</c:f>
              <c:strCache>
                <c:ptCount val="1"/>
                <c:pt idx="0">
                  <c:v>kW topení elektřinou celkem</c:v>
                </c:pt>
              </c:strCache>
            </c:strRef>
          </c:tx>
          <c:marker>
            <c:symbol val="none"/>
          </c:marker>
          <c:xVal>
            <c:numRef>
              <c:f>Novak!$A$4:$A$45</c:f>
              <c:numCache>
                <c:formatCode>mmm/yy</c:formatCode>
                <c:ptCount val="42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</c:numCache>
            </c:numRef>
          </c:xVal>
          <c:yVal>
            <c:numRef>
              <c:f>Novak!$Q$4:$Q$45</c:f>
              <c:numCache>
                <c:formatCode>General</c:formatCode>
                <c:ptCount val="42"/>
                <c:pt idx="0">
                  <c:v>0.4055555555555555</c:v>
                </c:pt>
                <c:pt idx="1">
                  <c:v>0.4680555555555555</c:v>
                </c:pt>
                <c:pt idx="2">
                  <c:v>0.78888888888888886</c:v>
                </c:pt>
                <c:pt idx="3">
                  <c:v>1.1263888888888889</c:v>
                </c:pt>
                <c:pt idx="4">
                  <c:v>1.0944444444444443</c:v>
                </c:pt>
                <c:pt idx="5">
                  <c:v>1.1430555555555555</c:v>
                </c:pt>
                <c:pt idx="6">
                  <c:v>1.1055555555555556</c:v>
                </c:pt>
                <c:pt idx="7">
                  <c:v>0.45555555555555555</c:v>
                </c:pt>
                <c:pt idx="8">
                  <c:v>0.30694444444444441</c:v>
                </c:pt>
                <c:pt idx="9">
                  <c:v>0.3</c:v>
                </c:pt>
                <c:pt idx="10">
                  <c:v>0.26805555555555555</c:v>
                </c:pt>
                <c:pt idx="11">
                  <c:v>0.25972222222222224</c:v>
                </c:pt>
                <c:pt idx="12">
                  <c:v>0.2902777777777778</c:v>
                </c:pt>
                <c:pt idx="13">
                  <c:v>0.39305555555555555</c:v>
                </c:pt>
                <c:pt idx="14">
                  <c:v>0.84305555555555556</c:v>
                </c:pt>
                <c:pt idx="15">
                  <c:v>1.1333333333333333</c:v>
                </c:pt>
                <c:pt idx="16">
                  <c:v>1.3486111111111112</c:v>
                </c:pt>
                <c:pt idx="17">
                  <c:v>0.85972222222222217</c:v>
                </c:pt>
                <c:pt idx="18">
                  <c:v>0.83472222222222225</c:v>
                </c:pt>
                <c:pt idx="19">
                  <c:v>0.49722222222222223</c:v>
                </c:pt>
                <c:pt idx="20">
                  <c:v>0.47361111111111115</c:v>
                </c:pt>
                <c:pt idx="21">
                  <c:v>0.27638888888888891</c:v>
                </c:pt>
                <c:pt idx="22">
                  <c:v>0.29722222222222222</c:v>
                </c:pt>
                <c:pt idx="26">
                  <c:v>0.89444444444444438</c:v>
                </c:pt>
                <c:pt idx="27">
                  <c:v>1.0902777777777779</c:v>
                </c:pt>
                <c:pt idx="28">
                  <c:v>1.1402777777777777</c:v>
                </c:pt>
                <c:pt idx="29">
                  <c:v>1.0125</c:v>
                </c:pt>
                <c:pt idx="38">
                  <c:v>0.75</c:v>
                </c:pt>
                <c:pt idx="39">
                  <c:v>1.2388888888888889</c:v>
                </c:pt>
                <c:pt idx="40">
                  <c:v>1.3916666666666666</c:v>
                </c:pt>
                <c:pt idx="41">
                  <c:v>1.0958333333333334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5A54-4CA2-9FE0-D69EE7FE4736}"/>
            </c:ext>
          </c:extLst>
        </c:ser>
        <c:ser>
          <c:idx val="2"/>
          <c:order val="2"/>
          <c:tx>
            <c:strRef>
              <c:f>Novak!$R$3</c:f>
              <c:strCache>
                <c:ptCount val="1"/>
                <c:pt idx="0">
                  <c:v>ekviterm pata 11°C</c:v>
                </c:pt>
              </c:strCache>
            </c:strRef>
          </c:tx>
          <c:marker>
            <c:symbol val="none"/>
          </c:marker>
          <c:xVal>
            <c:numRef>
              <c:f>Novak!$A$4:$A$45</c:f>
              <c:numCache>
                <c:formatCode>mmm/yy</c:formatCode>
                <c:ptCount val="42"/>
                <c:pt idx="0">
                  <c:v>42979</c:v>
                </c:pt>
                <c:pt idx="1">
                  <c:v>43009</c:v>
                </c:pt>
                <c:pt idx="2">
                  <c:v>43040</c:v>
                </c:pt>
                <c:pt idx="3">
                  <c:v>43070</c:v>
                </c:pt>
                <c:pt idx="4">
                  <c:v>43101</c:v>
                </c:pt>
                <c:pt idx="5">
                  <c:v>43132</c:v>
                </c:pt>
                <c:pt idx="6">
                  <c:v>43160</c:v>
                </c:pt>
                <c:pt idx="7">
                  <c:v>43191</c:v>
                </c:pt>
                <c:pt idx="8">
                  <c:v>43221</c:v>
                </c:pt>
                <c:pt idx="9">
                  <c:v>43252</c:v>
                </c:pt>
                <c:pt idx="10">
                  <c:v>43282</c:v>
                </c:pt>
                <c:pt idx="11">
                  <c:v>43313</c:v>
                </c:pt>
                <c:pt idx="12">
                  <c:v>43344</c:v>
                </c:pt>
                <c:pt idx="13">
                  <c:v>43374</c:v>
                </c:pt>
                <c:pt idx="14">
                  <c:v>43405</c:v>
                </c:pt>
                <c:pt idx="15">
                  <c:v>43435</c:v>
                </c:pt>
                <c:pt idx="16">
                  <c:v>43466</c:v>
                </c:pt>
                <c:pt idx="17">
                  <c:v>43497</c:v>
                </c:pt>
                <c:pt idx="18">
                  <c:v>43525</c:v>
                </c:pt>
                <c:pt idx="19">
                  <c:v>43556</c:v>
                </c:pt>
                <c:pt idx="20">
                  <c:v>43586</c:v>
                </c:pt>
                <c:pt idx="21">
                  <c:v>43617</c:v>
                </c:pt>
                <c:pt idx="22">
                  <c:v>43647</c:v>
                </c:pt>
                <c:pt idx="23">
                  <c:v>43678</c:v>
                </c:pt>
                <c:pt idx="24">
                  <c:v>43709</c:v>
                </c:pt>
                <c:pt idx="25">
                  <c:v>43739</c:v>
                </c:pt>
                <c:pt idx="26">
                  <c:v>43770</c:v>
                </c:pt>
                <c:pt idx="27">
                  <c:v>43800</c:v>
                </c:pt>
                <c:pt idx="28">
                  <c:v>43831</c:v>
                </c:pt>
                <c:pt idx="29">
                  <c:v>43862</c:v>
                </c:pt>
                <c:pt idx="30">
                  <c:v>43891</c:v>
                </c:pt>
                <c:pt idx="31">
                  <c:v>43922</c:v>
                </c:pt>
                <c:pt idx="32">
                  <c:v>43952</c:v>
                </c:pt>
                <c:pt idx="33">
                  <c:v>43983</c:v>
                </c:pt>
                <c:pt idx="34">
                  <c:v>44013</c:v>
                </c:pt>
                <c:pt idx="35">
                  <c:v>44044</c:v>
                </c:pt>
                <c:pt idx="36">
                  <c:v>44075</c:v>
                </c:pt>
                <c:pt idx="37">
                  <c:v>44105</c:v>
                </c:pt>
                <c:pt idx="38">
                  <c:v>44136</c:v>
                </c:pt>
                <c:pt idx="39">
                  <c:v>44166</c:v>
                </c:pt>
                <c:pt idx="40">
                  <c:v>44197</c:v>
                </c:pt>
                <c:pt idx="41">
                  <c:v>44228</c:v>
                </c:pt>
              </c:numCache>
            </c:numRef>
          </c:xVal>
          <c:yVal>
            <c:numRef>
              <c:f>Novak!$R$4:$R$45</c:f>
              <c:numCache>
                <c:formatCode>General</c:formatCode>
                <c:ptCount val="42"/>
                <c:pt idx="0">
                  <c:v>0.35933333333333339</c:v>
                </c:pt>
                <c:pt idx="1">
                  <c:v>0.46200000000000008</c:v>
                </c:pt>
                <c:pt idx="2">
                  <c:v>0.96066666666666667</c:v>
                </c:pt>
                <c:pt idx="3">
                  <c:v>1.1586666666666667</c:v>
                </c:pt>
                <c:pt idx="4">
                  <c:v>1.0780000000000001</c:v>
                </c:pt>
                <c:pt idx="5">
                  <c:v>1.518</c:v>
                </c:pt>
                <c:pt idx="6">
                  <c:v>1.2173333333333334</c:v>
                </c:pt>
                <c:pt idx="7">
                  <c:v>0.34466666666666668</c:v>
                </c:pt>
                <c:pt idx="8">
                  <c:v>9.5333333333333395E-2</c:v>
                </c:pt>
                <c:pt idx="9">
                  <c:v>7.3333333333333072E-3</c:v>
                </c:pt>
                <c:pt idx="12">
                  <c:v>0.1613333333333333</c:v>
                </c:pt>
                <c:pt idx="13">
                  <c:v>0.51333333333333342</c:v>
                </c:pt>
                <c:pt idx="14">
                  <c:v>0.95333333333333337</c:v>
                </c:pt>
                <c:pt idx="15">
                  <c:v>1.1000000000000001</c:v>
                </c:pt>
                <c:pt idx="16">
                  <c:v>1.3420000000000001</c:v>
                </c:pt>
                <c:pt idx="17">
                  <c:v>1.012</c:v>
                </c:pt>
                <c:pt idx="18">
                  <c:v>0.84333333333333338</c:v>
                </c:pt>
                <c:pt idx="19">
                  <c:v>0.57933333333333337</c:v>
                </c:pt>
                <c:pt idx="20">
                  <c:v>0.51333333333333342</c:v>
                </c:pt>
                <c:pt idx="26">
                  <c:v>0.90933333333333344</c:v>
                </c:pt>
                <c:pt idx="27">
                  <c:v>1.0633333333333335</c:v>
                </c:pt>
                <c:pt idx="28">
                  <c:v>1.1220000000000001</c:v>
                </c:pt>
                <c:pt idx="29">
                  <c:v>0.9826666666666668</c:v>
                </c:pt>
                <c:pt idx="38">
                  <c:v>0.90933333333333344</c:v>
                </c:pt>
                <c:pt idx="39">
                  <c:v>1.1513333333333333</c:v>
                </c:pt>
                <c:pt idx="40">
                  <c:v>1.3053333333333335</c:v>
                </c:pt>
                <c:pt idx="41">
                  <c:v>1.2466666666666668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5A54-4CA2-9FE0-D69EE7FE4736}"/>
            </c:ext>
          </c:extLst>
        </c:ser>
        <c:axId val="118475776"/>
        <c:axId val="118477568"/>
      </c:scatterChart>
      <c:valAx>
        <c:axId val="118475776"/>
        <c:scaling>
          <c:orientation val="minMax"/>
        </c:scaling>
        <c:axPos val="b"/>
        <c:majorGridlines/>
        <c:minorGridlines/>
        <c:numFmt formatCode="dd/mm/yy;@" sourceLinked="0"/>
        <c:tickLblPos val="nextTo"/>
        <c:txPr>
          <a:bodyPr rot="-2340000"/>
          <a:lstStyle/>
          <a:p>
            <a:pPr>
              <a:defRPr/>
            </a:pPr>
            <a:endParaRPr lang="cs-CZ"/>
          </a:p>
        </c:txPr>
        <c:crossAx val="118477568"/>
        <c:crosses val="autoZero"/>
        <c:crossBetween val="midCat"/>
        <c:majorUnit val="91.5"/>
        <c:minorUnit val="30.5"/>
      </c:valAx>
      <c:valAx>
        <c:axId val="118477568"/>
        <c:scaling>
          <c:orientation val="minMax"/>
        </c:scaling>
        <c:axPos val="l"/>
        <c:majorGridlines/>
        <c:numFmt formatCode="General" sourceLinked="1"/>
        <c:tickLblPos val="nextTo"/>
        <c:crossAx val="11847577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'14 panelaku'!$E$4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'14 panelaku'!$A$5:$A$70</c:f>
              <c:numCache>
                <c:formatCode>dd/mm/yy;@</c:formatCode>
                <c:ptCount val="6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  <c:pt idx="53">
                  <c:v>43739</c:v>
                </c:pt>
                <c:pt idx="54">
                  <c:v>43770</c:v>
                </c:pt>
                <c:pt idx="55">
                  <c:v>43800</c:v>
                </c:pt>
                <c:pt idx="56">
                  <c:v>43831</c:v>
                </c:pt>
                <c:pt idx="57">
                  <c:v>43862</c:v>
                </c:pt>
                <c:pt idx="58">
                  <c:v>43891</c:v>
                </c:pt>
                <c:pt idx="59">
                  <c:v>43922</c:v>
                </c:pt>
                <c:pt idx="60">
                  <c:v>43952</c:v>
                </c:pt>
                <c:pt idx="61">
                  <c:v>43983</c:v>
                </c:pt>
                <c:pt idx="62">
                  <c:v>44013</c:v>
                </c:pt>
                <c:pt idx="63">
                  <c:v>44044</c:v>
                </c:pt>
                <c:pt idx="64">
                  <c:v>44075</c:v>
                </c:pt>
                <c:pt idx="65">
                  <c:v>44105</c:v>
                </c:pt>
              </c:numCache>
            </c:numRef>
          </c:xVal>
          <c:yVal>
            <c:numRef>
              <c:f>'14 panelaku'!$E$5:$E$70</c:f>
              <c:numCache>
                <c:formatCode>General</c:formatCode>
                <c:ptCount val="66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461.43750000000006</c:v>
                </c:pt>
                <c:pt idx="58">
                  <c:v>381.1875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972-4963-A6AD-B9DD49658879}"/>
            </c:ext>
          </c:extLst>
        </c:ser>
        <c:ser>
          <c:idx val="1"/>
          <c:order val="1"/>
          <c:tx>
            <c:strRef>
              <c:f>'14 panelaku'!$F$4</c:f>
              <c:strCache>
                <c:ptCount val="1"/>
                <c:pt idx="0">
                  <c:v>kW ztráty</c:v>
                </c:pt>
              </c:strCache>
            </c:strRef>
          </c:tx>
          <c:marker>
            <c:symbol val="none"/>
          </c:marker>
          <c:xVal>
            <c:numRef>
              <c:f>'14 panelaku'!$A$5:$A$70</c:f>
              <c:numCache>
                <c:formatCode>dd/mm/yy;@</c:formatCode>
                <c:ptCount val="66"/>
                <c:pt idx="0">
                  <c:v>42125</c:v>
                </c:pt>
                <c:pt idx="1">
                  <c:v>42156</c:v>
                </c:pt>
                <c:pt idx="2">
                  <c:v>42186</c:v>
                </c:pt>
                <c:pt idx="3">
                  <c:v>42217</c:v>
                </c:pt>
                <c:pt idx="4">
                  <c:v>42248</c:v>
                </c:pt>
                <c:pt idx="5">
                  <c:v>42278</c:v>
                </c:pt>
                <c:pt idx="6">
                  <c:v>42309</c:v>
                </c:pt>
                <c:pt idx="7">
                  <c:v>42339</c:v>
                </c:pt>
                <c:pt idx="8">
                  <c:v>42370</c:v>
                </c:pt>
                <c:pt idx="9">
                  <c:v>42401</c:v>
                </c:pt>
                <c:pt idx="10">
                  <c:v>42430</c:v>
                </c:pt>
                <c:pt idx="11">
                  <c:v>42461</c:v>
                </c:pt>
                <c:pt idx="12">
                  <c:v>42491</c:v>
                </c:pt>
                <c:pt idx="13">
                  <c:v>42522</c:v>
                </c:pt>
                <c:pt idx="14">
                  <c:v>42552</c:v>
                </c:pt>
                <c:pt idx="15">
                  <c:v>42583</c:v>
                </c:pt>
                <c:pt idx="16">
                  <c:v>42614</c:v>
                </c:pt>
                <c:pt idx="17">
                  <c:v>42644</c:v>
                </c:pt>
                <c:pt idx="18">
                  <c:v>42675</c:v>
                </c:pt>
                <c:pt idx="19">
                  <c:v>42705</c:v>
                </c:pt>
                <c:pt idx="20">
                  <c:v>42736</c:v>
                </c:pt>
                <c:pt idx="21">
                  <c:v>42767</c:v>
                </c:pt>
                <c:pt idx="22">
                  <c:v>42795</c:v>
                </c:pt>
                <c:pt idx="23">
                  <c:v>42826</c:v>
                </c:pt>
                <c:pt idx="24">
                  <c:v>42856</c:v>
                </c:pt>
                <c:pt idx="25">
                  <c:v>42887</c:v>
                </c:pt>
                <c:pt idx="26">
                  <c:v>42917</c:v>
                </c:pt>
                <c:pt idx="27">
                  <c:v>42948</c:v>
                </c:pt>
                <c:pt idx="28">
                  <c:v>42979</c:v>
                </c:pt>
                <c:pt idx="29">
                  <c:v>43009</c:v>
                </c:pt>
                <c:pt idx="30">
                  <c:v>43040</c:v>
                </c:pt>
                <c:pt idx="31">
                  <c:v>43070</c:v>
                </c:pt>
                <c:pt idx="32">
                  <c:v>43101</c:v>
                </c:pt>
                <c:pt idx="33">
                  <c:v>43132</c:v>
                </c:pt>
                <c:pt idx="34">
                  <c:v>43160</c:v>
                </c:pt>
                <c:pt idx="35">
                  <c:v>43191</c:v>
                </c:pt>
                <c:pt idx="36">
                  <c:v>43221</c:v>
                </c:pt>
                <c:pt idx="37">
                  <c:v>43252</c:v>
                </c:pt>
                <c:pt idx="38">
                  <c:v>43282</c:v>
                </c:pt>
                <c:pt idx="39">
                  <c:v>43313</c:v>
                </c:pt>
                <c:pt idx="40">
                  <c:v>43344</c:v>
                </c:pt>
                <c:pt idx="41">
                  <c:v>43374</c:v>
                </c:pt>
                <c:pt idx="42">
                  <c:v>43405</c:v>
                </c:pt>
                <c:pt idx="43">
                  <c:v>43435</c:v>
                </c:pt>
                <c:pt idx="44">
                  <c:v>43466</c:v>
                </c:pt>
                <c:pt idx="45">
                  <c:v>43497</c:v>
                </c:pt>
                <c:pt idx="46">
                  <c:v>43525</c:v>
                </c:pt>
                <c:pt idx="47">
                  <c:v>43556</c:v>
                </c:pt>
                <c:pt idx="48">
                  <c:v>43586</c:v>
                </c:pt>
                <c:pt idx="49">
                  <c:v>43617</c:v>
                </c:pt>
                <c:pt idx="50">
                  <c:v>43647</c:v>
                </c:pt>
                <c:pt idx="51">
                  <c:v>43678</c:v>
                </c:pt>
                <c:pt idx="52">
                  <c:v>43709</c:v>
                </c:pt>
                <c:pt idx="53">
                  <c:v>43739</c:v>
                </c:pt>
                <c:pt idx="54">
                  <c:v>43770</c:v>
                </c:pt>
                <c:pt idx="55">
                  <c:v>43800</c:v>
                </c:pt>
                <c:pt idx="56">
                  <c:v>43831</c:v>
                </c:pt>
                <c:pt idx="57">
                  <c:v>43862</c:v>
                </c:pt>
                <c:pt idx="58">
                  <c:v>43891</c:v>
                </c:pt>
                <c:pt idx="59">
                  <c:v>43922</c:v>
                </c:pt>
                <c:pt idx="60">
                  <c:v>43952</c:v>
                </c:pt>
                <c:pt idx="61">
                  <c:v>43983</c:v>
                </c:pt>
                <c:pt idx="62">
                  <c:v>44013</c:v>
                </c:pt>
                <c:pt idx="63">
                  <c:v>44044</c:v>
                </c:pt>
                <c:pt idx="64">
                  <c:v>44075</c:v>
                </c:pt>
                <c:pt idx="65">
                  <c:v>44105</c:v>
                </c:pt>
              </c:numCache>
            </c:numRef>
          </c:xVal>
          <c:yVal>
            <c:numRef>
              <c:f>'14 panelaku'!$F$5:$F$70</c:f>
              <c:numCache>
                <c:formatCode>General</c:formatCode>
                <c:ptCount val="66"/>
                <c:pt idx="0">
                  <c:v>307.71999999999997</c:v>
                </c:pt>
                <c:pt idx="1">
                  <c:v>219.25172043010747</c:v>
                </c:pt>
                <c:pt idx="2">
                  <c:v>153.14000000000004</c:v>
                </c:pt>
                <c:pt idx="3">
                  <c:v>126</c:v>
                </c:pt>
                <c:pt idx="4">
                  <c:v>126</c:v>
                </c:pt>
                <c:pt idx="5">
                  <c:v>212.66444444444451</c:v>
                </c:pt>
                <c:pt idx="6">
                  <c:v>319.36139784946334</c:v>
                </c:pt>
                <c:pt idx="7">
                  <c:v>354.1988888888884</c:v>
                </c:pt>
                <c:pt idx="8">
                  <c:v>393.20655913978487</c:v>
                </c:pt>
                <c:pt idx="9">
                  <c:v>494.64849462365612</c:v>
                </c:pt>
                <c:pt idx="10">
                  <c:v>422.70218390804632</c:v>
                </c:pt>
                <c:pt idx="11">
                  <c:v>403.03989247311819</c:v>
                </c:pt>
                <c:pt idx="12">
                  <c:v>312.11222222222307</c:v>
                </c:pt>
                <c:pt idx="13">
                  <c:v>201.9958064516122</c:v>
                </c:pt>
                <c:pt idx="14">
                  <c:v>126.06555555555508</c:v>
                </c:pt>
                <c:pt idx="15">
                  <c:v>126</c:v>
                </c:pt>
                <c:pt idx="16">
                  <c:v>126</c:v>
                </c:pt>
                <c:pt idx="17">
                  <c:v>144.28999999999846</c:v>
                </c:pt>
                <c:pt idx="18">
                  <c:v>323.92913978494482</c:v>
                </c:pt>
                <c:pt idx="19">
                  <c:v>424.9333333333326</c:v>
                </c:pt>
                <c:pt idx="20">
                  <c:v>479.10548387096708</c:v>
                </c:pt>
                <c:pt idx="21">
                  <c:v>579.976451612902</c:v>
                </c:pt>
                <c:pt idx="22">
                  <c:v>444.47357142856947</c:v>
                </c:pt>
                <c:pt idx="23">
                  <c:v>341.18505376343876</c:v>
                </c:pt>
                <c:pt idx="24">
                  <c:v>330.79555555555396</c:v>
                </c:pt>
                <c:pt idx="25">
                  <c:v>192.86032258064409</c:v>
                </c:pt>
                <c:pt idx="26">
                  <c:v>126</c:v>
                </c:pt>
                <c:pt idx="27">
                  <c:v>126</c:v>
                </c:pt>
                <c:pt idx="28">
                  <c:v>126</c:v>
                </c:pt>
                <c:pt idx="29">
                  <c:v>233.83888888888697</c:v>
                </c:pt>
                <c:pt idx="30">
                  <c:v>277.04634408602487</c:v>
                </c:pt>
                <c:pt idx="31">
                  <c:v>399.03888888888935</c:v>
                </c:pt>
                <c:pt idx="32">
                  <c:v>444.7839784946234</c:v>
                </c:pt>
                <c:pt idx="33">
                  <c:v>425.7517204301061</c:v>
                </c:pt>
                <c:pt idx="34">
                  <c:v>539.78666666666527</c:v>
                </c:pt>
                <c:pt idx="35">
                  <c:v>442.75387096774006</c:v>
                </c:pt>
                <c:pt idx="36">
                  <c:v>214.43444444444344</c:v>
                </c:pt>
                <c:pt idx="37">
                  <c:v>146.35817204300957</c:v>
                </c:pt>
                <c:pt idx="38">
                  <c:v>126</c:v>
                </c:pt>
                <c:pt idx="39">
                  <c:v>126</c:v>
                </c:pt>
                <c:pt idx="40">
                  <c:v>126</c:v>
                </c:pt>
                <c:pt idx="41">
                  <c:v>174.11777777777803</c:v>
                </c:pt>
                <c:pt idx="42">
                  <c:v>272.92268817204297</c:v>
                </c:pt>
                <c:pt idx="43">
                  <c:v>405.33222222221815</c:v>
                </c:pt>
                <c:pt idx="44">
                  <c:v>426.13236559139438</c:v>
                </c:pt>
                <c:pt idx="45">
                  <c:v>489.89043010752567</c:v>
                </c:pt>
                <c:pt idx="46">
                  <c:v>429.30214285714197</c:v>
                </c:pt>
                <c:pt idx="47">
                  <c:v>344.8646236559137</c:v>
                </c:pt>
                <c:pt idx="48">
                  <c:v>276.05666666666332</c:v>
                </c:pt>
                <c:pt idx="49">
                  <c:v>247.86354838709556</c:v>
                </c:pt>
                <c:pt idx="50">
                  <c:v>126</c:v>
                </c:pt>
                <c:pt idx="51">
                  <c:v>126</c:v>
                </c:pt>
                <c:pt idx="52">
                  <c:v>126</c:v>
                </c:pt>
                <c:pt idx="53">
                  <c:v>200.99555555555702</c:v>
                </c:pt>
                <c:pt idx="54">
                  <c:v>288.84634408602858</c:v>
                </c:pt>
                <c:pt idx="55">
                  <c:v>368.09666666667385</c:v>
                </c:pt>
                <c:pt idx="56">
                  <c:v>429.43129032258679</c:v>
                </c:pt>
                <c:pt idx="57">
                  <c:v>453.28505376344378</c:v>
                </c:pt>
                <c:pt idx="58">
                  <c:v>387.4378160919627</c:v>
                </c:pt>
                <c:pt idx="59">
                  <c:v>391.55709677420163</c:v>
                </c:pt>
                <c:pt idx="60">
                  <c:v>274.090000000011</c:v>
                </c:pt>
                <c:pt idx="61">
                  <c:v>245.96032258065085</c:v>
                </c:pt>
                <c:pt idx="62">
                  <c:v>139.17666666667097</c:v>
                </c:pt>
                <c:pt idx="63">
                  <c:v>126</c:v>
                </c:pt>
                <c:pt idx="64">
                  <c:v>126</c:v>
                </c:pt>
                <c:pt idx="65">
                  <c:v>126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972-4963-A6AD-B9DD49658879}"/>
            </c:ext>
          </c:extLst>
        </c:ser>
        <c:axId val="148125568"/>
        <c:axId val="148127104"/>
      </c:scatterChart>
      <c:valAx>
        <c:axId val="148125568"/>
        <c:scaling>
          <c:orientation val="minMax"/>
        </c:scaling>
        <c:axPos val="b"/>
        <c:majorGridlines/>
        <c:minorGridlines/>
        <c:numFmt formatCode="dd/mm/yy;@" sourceLinked="1"/>
        <c:tickLblPos val="nextTo"/>
        <c:crossAx val="148127104"/>
        <c:crosses val="autoZero"/>
        <c:crossBetween val="midCat"/>
        <c:majorUnit val="365.25"/>
        <c:minorUnit val="91.25"/>
      </c:valAx>
      <c:valAx>
        <c:axId val="148127104"/>
        <c:scaling>
          <c:orientation val="minMax"/>
        </c:scaling>
        <c:axPos val="l"/>
        <c:majorGridlines/>
        <c:numFmt formatCode="General" sourceLinked="1"/>
        <c:tickLblPos val="nextTo"/>
        <c:crossAx val="14812556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'14 panelaku'!$A$61:$A$63</c:f>
              <c:numCache>
                <c:formatCode>dd/mm/yy;@</c:formatCode>
                <c:ptCount val="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</c:numCache>
            </c:numRef>
          </c:xVal>
          <c:yVal>
            <c:numRef>
              <c:f>'14 panelaku'!$J$61:$J$63</c:f>
              <c:numCache>
                <c:formatCode>General</c:formatCode>
                <c:ptCount val="3"/>
                <c:pt idx="0">
                  <c:v>0</c:v>
                </c:pt>
                <c:pt idx="1">
                  <c:v>35020.15368639701</c:v>
                </c:pt>
                <c:pt idx="2">
                  <c:v>63021.889927311335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FE9-4D15-A08D-093B1EADCB8F}"/>
            </c:ext>
          </c:extLst>
        </c:ser>
        <c:ser>
          <c:idx val="1"/>
          <c:order val="1"/>
          <c:xVal>
            <c:numRef>
              <c:f>'14 panelaku'!$A$61:$A$63</c:f>
              <c:numCache>
                <c:formatCode>dd/mm/yy;@</c:formatCode>
                <c:ptCount val="3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</c:numCache>
            </c:numRef>
          </c:xVal>
          <c:yVal>
            <c:numRef>
              <c:f>'14 panelaku'!$K$61:$K$63</c:f>
              <c:numCache>
                <c:formatCode>General</c:formatCode>
                <c:ptCount val="3"/>
                <c:pt idx="0">
                  <c:v>0</c:v>
                </c:pt>
                <c:pt idx="1">
                  <c:v>35650</c:v>
                </c:pt>
                <c:pt idx="2">
                  <c:v>63200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AFE9-4D15-A08D-093B1EADCB8F}"/>
            </c:ext>
          </c:extLst>
        </c:ser>
        <c:axId val="148311424"/>
        <c:axId val="148313216"/>
      </c:scatterChart>
      <c:valAx>
        <c:axId val="148311424"/>
        <c:scaling>
          <c:orientation val="minMax"/>
        </c:scaling>
        <c:axPos val="b"/>
        <c:majorGridlines/>
        <c:numFmt formatCode="dd/mm/yy;@" sourceLinked="1"/>
        <c:tickLblPos val="nextTo"/>
        <c:crossAx val="148313216"/>
        <c:crosses val="autoZero"/>
        <c:crossBetween val="midCat"/>
        <c:majorUnit val="30"/>
      </c:valAx>
      <c:valAx>
        <c:axId val="148313216"/>
        <c:scaling>
          <c:orientation val="minMax"/>
        </c:scaling>
        <c:axPos val="l"/>
        <c:majorGridlines/>
        <c:numFmt formatCode="General" sourceLinked="1"/>
        <c:tickLblPos val="nextTo"/>
        <c:crossAx val="14831142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sajf!$J$5</c:f>
              <c:strCache>
                <c:ptCount val="1"/>
                <c:pt idx="0">
                  <c:v>suma plyn kWh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sajf!$J$6:$J$65</c:f>
              <c:numCache>
                <c:formatCode>General</c:formatCode>
                <c:ptCount val="60"/>
                <c:pt idx="0">
                  <c:v>5699.89</c:v>
                </c:pt>
                <c:pt idx="1">
                  <c:v>9549.75</c:v>
                </c:pt>
                <c:pt idx="2">
                  <c:v>12523.28</c:v>
                </c:pt>
                <c:pt idx="3">
                  <c:v>14755.3</c:v>
                </c:pt>
                <c:pt idx="4">
                  <c:v>15758.96</c:v>
                </c:pt>
                <c:pt idx="5">
                  <c:v>16185.89</c:v>
                </c:pt>
                <c:pt idx="6">
                  <c:v>16612.82</c:v>
                </c:pt>
                <c:pt idx="7">
                  <c:v>17047.239999999998</c:v>
                </c:pt>
                <c:pt idx="8">
                  <c:v>18350.499999999996</c:v>
                </c:pt>
                <c:pt idx="9">
                  <c:v>20335.349999999995</c:v>
                </c:pt>
                <c:pt idx="10">
                  <c:v>23668.399999999994</c:v>
                </c:pt>
                <c:pt idx="11">
                  <c:v>28072.519999999993</c:v>
                </c:pt>
                <c:pt idx="12">
                  <c:v>32019.749999999993</c:v>
                </c:pt>
                <c:pt idx="13">
                  <c:v>36513.749999999993</c:v>
                </c:pt>
                <c:pt idx="14">
                  <c:v>40723.12999999999</c:v>
                </c:pt>
                <c:pt idx="15">
                  <c:v>42011.409999999989</c:v>
                </c:pt>
                <c:pt idx="16">
                  <c:v>42722.959999999992</c:v>
                </c:pt>
                <c:pt idx="17">
                  <c:v>43344.62999999999</c:v>
                </c:pt>
                <c:pt idx="18">
                  <c:v>43928.849999999991</c:v>
                </c:pt>
                <c:pt idx="19">
                  <c:v>44528.049999999988</c:v>
                </c:pt>
                <c:pt idx="20">
                  <c:v>45464.299999999988</c:v>
                </c:pt>
                <c:pt idx="21">
                  <c:v>47591.459999999985</c:v>
                </c:pt>
                <c:pt idx="22">
                  <c:v>50984.429999999986</c:v>
                </c:pt>
                <c:pt idx="23">
                  <c:v>55156.359999999986</c:v>
                </c:pt>
                <c:pt idx="24">
                  <c:v>59964.939999999988</c:v>
                </c:pt>
                <c:pt idx="25">
                  <c:v>63702.44999999999</c:v>
                </c:pt>
                <c:pt idx="26">
                  <c:v>67057.969999999987</c:v>
                </c:pt>
                <c:pt idx="27">
                  <c:v>68997.87999999999</c:v>
                </c:pt>
                <c:pt idx="28">
                  <c:v>70787.989999999991</c:v>
                </c:pt>
                <c:pt idx="29">
                  <c:v>71424.639999999985</c:v>
                </c:pt>
                <c:pt idx="30">
                  <c:v>72068.779999999984</c:v>
                </c:pt>
                <c:pt idx="31">
                  <c:v>72712.919999999984</c:v>
                </c:pt>
                <c:pt idx="32">
                  <c:v>73813.949999999983</c:v>
                </c:pt>
                <c:pt idx="33">
                  <c:v>75956.089999999982</c:v>
                </c:pt>
                <c:pt idx="34">
                  <c:v>79393.999999999985</c:v>
                </c:pt>
                <c:pt idx="35">
                  <c:v>83558.439999999988</c:v>
                </c:pt>
                <c:pt idx="36">
                  <c:v>87715.389999999985</c:v>
                </c:pt>
                <c:pt idx="37">
                  <c:v>91190.749999999985</c:v>
                </c:pt>
                <c:pt idx="38">
                  <c:v>94591.209999999992</c:v>
                </c:pt>
                <c:pt idx="39">
                  <c:v>96081.719999999987</c:v>
                </c:pt>
                <c:pt idx="40">
                  <c:v>97310.079999999987</c:v>
                </c:pt>
                <c:pt idx="41">
                  <c:v>97991.669999999984</c:v>
                </c:pt>
                <c:pt idx="42">
                  <c:v>98508.479999999981</c:v>
                </c:pt>
                <c:pt idx="43">
                  <c:v>98995.329999999987</c:v>
                </c:pt>
                <c:pt idx="44">
                  <c:v>99796.75999999998</c:v>
                </c:pt>
                <c:pt idx="45">
                  <c:v>102118.65999999997</c:v>
                </c:pt>
                <c:pt idx="46">
                  <c:v>105631.46999999997</c:v>
                </c:pt>
                <c:pt idx="47">
                  <c:v>109840.84999999998</c:v>
                </c:pt>
                <c:pt idx="48">
                  <c:v>114596.99999999997</c:v>
                </c:pt>
                <c:pt idx="49">
                  <c:v>119031.07999999997</c:v>
                </c:pt>
                <c:pt idx="50">
                  <c:v>122588.82999999997</c:v>
                </c:pt>
                <c:pt idx="51">
                  <c:v>125330.16999999997</c:v>
                </c:pt>
                <c:pt idx="52">
                  <c:v>126977.96999999997</c:v>
                </c:pt>
                <c:pt idx="53">
                  <c:v>127592.14999999997</c:v>
                </c:pt>
                <c:pt idx="54">
                  <c:v>128236.28999999996</c:v>
                </c:pt>
                <c:pt idx="55">
                  <c:v>128947.83999999997</c:v>
                </c:pt>
                <c:pt idx="56">
                  <c:v>129771.73999999996</c:v>
                </c:pt>
                <c:pt idx="57">
                  <c:v>132438.17999999996</c:v>
                </c:pt>
                <c:pt idx="58">
                  <c:v>136018.39999999997</c:v>
                </c:pt>
                <c:pt idx="59">
                  <c:v>140317.65999999997</c:v>
                </c:pt>
              </c:numCache>
            </c:numRef>
          </c:yVal>
        </c:ser>
        <c:ser>
          <c:idx val="1"/>
          <c:order val="1"/>
          <c:tx>
            <c:strRef>
              <c:f>sajf!$K$5</c:f>
              <c:strCache>
                <c:ptCount val="1"/>
                <c:pt idx="0">
                  <c:v>suma TZ kWh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sajf!$K$6:$K$65</c:f>
              <c:numCache>
                <c:formatCode>General</c:formatCode>
                <c:ptCount val="60"/>
                <c:pt idx="0">
                  <c:v>6263.0400000000045</c:v>
                </c:pt>
                <c:pt idx="1">
                  <c:v>10212.400000000012</c:v>
                </c:pt>
                <c:pt idx="2">
                  <c:v>13076.960000000003</c:v>
                </c:pt>
                <c:pt idx="3">
                  <c:v>15583.680000000006</c:v>
                </c:pt>
                <c:pt idx="4">
                  <c:v>16286.240000000003</c:v>
                </c:pt>
                <c:pt idx="5">
                  <c:v>16919.840000000004</c:v>
                </c:pt>
                <c:pt idx="6">
                  <c:v>17574.560000000005</c:v>
                </c:pt>
                <c:pt idx="7">
                  <c:v>18229.280000000006</c:v>
                </c:pt>
                <c:pt idx="8">
                  <c:v>19390.959999999952</c:v>
                </c:pt>
                <c:pt idx="9">
                  <c:v>21204.879999999936</c:v>
                </c:pt>
                <c:pt idx="10">
                  <c:v>24638.959999999915</c:v>
                </c:pt>
                <c:pt idx="11">
                  <c:v>28981.039999999874</c:v>
                </c:pt>
                <c:pt idx="12">
                  <c:v>32973.51999999988</c:v>
                </c:pt>
                <c:pt idx="13">
                  <c:v>37959.719999999885</c:v>
                </c:pt>
                <c:pt idx="14">
                  <c:v>42349.639999999854</c:v>
                </c:pt>
                <c:pt idx="15">
                  <c:v>43342.039999999855</c:v>
                </c:pt>
                <c:pt idx="16">
                  <c:v>43996.759999999857</c:v>
                </c:pt>
                <c:pt idx="17">
                  <c:v>44630.359999999855</c:v>
                </c:pt>
                <c:pt idx="18">
                  <c:v>45285.079999999856</c:v>
                </c:pt>
                <c:pt idx="19">
                  <c:v>45939.799999999857</c:v>
                </c:pt>
                <c:pt idx="20">
                  <c:v>46573.399999999856</c:v>
                </c:pt>
                <c:pt idx="21">
                  <c:v>48385.479999999865</c:v>
                </c:pt>
                <c:pt idx="22">
                  <c:v>51875.679999999847</c:v>
                </c:pt>
                <c:pt idx="23">
                  <c:v>55958.31999999992</c:v>
                </c:pt>
                <c:pt idx="24">
                  <c:v>60845.03999999995</c:v>
                </c:pt>
                <c:pt idx="25">
                  <c:v>64582.79999999993</c:v>
                </c:pt>
                <c:pt idx="26">
                  <c:v>67405.03999999995</c:v>
                </c:pt>
                <c:pt idx="27">
                  <c:v>69218.079999999929</c:v>
                </c:pt>
                <c:pt idx="28">
                  <c:v>70727.479999999981</c:v>
                </c:pt>
                <c:pt idx="29">
                  <c:v>71361.079999999987</c:v>
                </c:pt>
                <c:pt idx="30">
                  <c:v>72015.799999999988</c:v>
                </c:pt>
                <c:pt idx="31">
                  <c:v>72670.51999999999</c:v>
                </c:pt>
                <c:pt idx="32">
                  <c:v>73317.000000000029</c:v>
                </c:pt>
                <c:pt idx="33">
                  <c:v>75233.960000000065</c:v>
                </c:pt>
                <c:pt idx="34">
                  <c:v>78276.120000000097</c:v>
                </c:pt>
                <c:pt idx="35">
                  <c:v>82337.600000000195</c:v>
                </c:pt>
                <c:pt idx="36">
                  <c:v>86844.360000000263</c:v>
                </c:pt>
                <c:pt idx="37">
                  <c:v>90036.520000000237</c:v>
                </c:pt>
                <c:pt idx="38">
                  <c:v>93483.440000000235</c:v>
                </c:pt>
                <c:pt idx="39">
                  <c:v>95341.560000000187</c:v>
                </c:pt>
                <c:pt idx="40">
                  <c:v>96770.920000000158</c:v>
                </c:pt>
                <c:pt idx="41">
                  <c:v>97404.520000000164</c:v>
                </c:pt>
                <c:pt idx="42">
                  <c:v>98059.240000000165</c:v>
                </c:pt>
                <c:pt idx="43">
                  <c:v>98713.960000000166</c:v>
                </c:pt>
                <c:pt idx="44">
                  <c:v>99347.560000000172</c:v>
                </c:pt>
                <c:pt idx="45">
                  <c:v>101350.08000000018</c:v>
                </c:pt>
                <c:pt idx="46">
                  <c:v>104784.16000000012</c:v>
                </c:pt>
                <c:pt idx="47">
                  <c:v>108883.36000000007</c:v>
                </c:pt>
                <c:pt idx="48">
                  <c:v>113790.32000000011</c:v>
                </c:pt>
                <c:pt idx="49">
                  <c:v>118416.80000000013</c:v>
                </c:pt>
                <c:pt idx="50">
                  <c:v>122148.00000000004</c:v>
                </c:pt>
                <c:pt idx="51">
                  <c:v>125098.16</c:v>
                </c:pt>
                <c:pt idx="52">
                  <c:v>126716.11999999998</c:v>
                </c:pt>
                <c:pt idx="53">
                  <c:v>127349.71999999999</c:v>
                </c:pt>
                <c:pt idx="54">
                  <c:v>128004.43999999999</c:v>
                </c:pt>
                <c:pt idx="55">
                  <c:v>128659.15999999999</c:v>
                </c:pt>
                <c:pt idx="56">
                  <c:v>129292.76</c:v>
                </c:pt>
                <c:pt idx="57">
                  <c:v>131612.67999999991</c:v>
                </c:pt>
                <c:pt idx="58">
                  <c:v>135100.11999999997</c:v>
                </c:pt>
                <c:pt idx="59">
                  <c:v>139516.71999999988</c:v>
                </c:pt>
              </c:numCache>
            </c:numRef>
          </c:yVal>
        </c:ser>
        <c:axId val="148375040"/>
        <c:axId val="148376576"/>
      </c:scatterChart>
      <c:valAx>
        <c:axId val="148375040"/>
        <c:scaling>
          <c:orientation val="minMax"/>
        </c:scaling>
        <c:axPos val="b"/>
        <c:numFmt formatCode="dd/mm/yyyy" sourceLinked="1"/>
        <c:tickLblPos val="nextTo"/>
        <c:crossAx val="148376576"/>
        <c:crosses val="autoZero"/>
        <c:crossBetween val="midCat"/>
      </c:valAx>
      <c:valAx>
        <c:axId val="148376576"/>
        <c:scaling>
          <c:orientation val="minMax"/>
        </c:scaling>
        <c:axPos val="l"/>
        <c:majorGridlines/>
        <c:numFmt formatCode="General" sourceLinked="1"/>
        <c:tickLblPos val="nextTo"/>
        <c:crossAx val="148375040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°C Kbely / °C meteostanice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sajf!$B$5</c:f>
              <c:strCache>
                <c:ptCount val="1"/>
                <c:pt idx="0">
                  <c:v>°C Kbely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sajf!$B$6:$B$65</c:f>
              <c:numCache>
                <c:formatCode>General</c:formatCode>
                <c:ptCount val="60"/>
                <c:pt idx="0">
                  <c:v>-4.6645161290322701</c:v>
                </c:pt>
                <c:pt idx="1">
                  <c:v>1.9642857142856818</c:v>
                </c:pt>
                <c:pt idx="2">
                  <c:v>7.2516129032258414</c:v>
                </c:pt>
                <c:pt idx="3">
                  <c:v>8.2133333333333205</c:v>
                </c:pt>
                <c:pt idx="4">
                  <c:v>14.832258064516134</c:v>
                </c:pt>
                <c:pt idx="5">
                  <c:v>19.27666666666661</c:v>
                </c:pt>
                <c:pt idx="6">
                  <c:v>19.838709677419356</c:v>
                </c:pt>
                <c:pt idx="7">
                  <c:v>19.741935483870968</c:v>
                </c:pt>
                <c:pt idx="8">
                  <c:v>13.086666666666861</c:v>
                </c:pt>
                <c:pt idx="9">
                  <c:v>10.935483870967801</c:v>
                </c:pt>
                <c:pt idx="10">
                  <c:v>4.8533333333334063</c:v>
                </c:pt>
                <c:pt idx="11">
                  <c:v>2.0709677419356245</c:v>
                </c:pt>
                <c:pt idx="12">
                  <c:v>3.2967741935483521</c:v>
                </c:pt>
                <c:pt idx="13">
                  <c:v>-2.0607142857143117</c:v>
                </c:pt>
                <c:pt idx="14">
                  <c:v>1.9032258064517302</c:v>
                </c:pt>
                <c:pt idx="15">
                  <c:v>13.7</c:v>
                </c:pt>
                <c:pt idx="16">
                  <c:v>17.258064516128975</c:v>
                </c:pt>
                <c:pt idx="17">
                  <c:v>18.956666666666692</c:v>
                </c:pt>
                <c:pt idx="18">
                  <c:v>21.558064516128891</c:v>
                </c:pt>
                <c:pt idx="19">
                  <c:v>22.174193548387144</c:v>
                </c:pt>
                <c:pt idx="20">
                  <c:v>16.290000000000084</c:v>
                </c:pt>
                <c:pt idx="21">
                  <c:v>10.941935483870932</c:v>
                </c:pt>
                <c:pt idx="22">
                  <c:v>4.6500000000000608</c:v>
                </c:pt>
                <c:pt idx="23">
                  <c:v>2.980645161290076</c:v>
                </c:pt>
                <c:pt idx="24">
                  <c:v>0.16129032258052781</c:v>
                </c:pt>
                <c:pt idx="25">
                  <c:v>2.7857142857143509</c:v>
                </c:pt>
                <c:pt idx="26">
                  <c:v>7.3999999999999293</c:v>
                </c:pt>
                <c:pt idx="27">
                  <c:v>10.726666666666764</c:v>
                </c:pt>
                <c:pt idx="28">
                  <c:v>12.003225806451448</c:v>
                </c:pt>
                <c:pt idx="29">
                  <c:v>21.836666666666861</c:v>
                </c:pt>
                <c:pt idx="30">
                  <c:v>20.43870967741919</c:v>
                </c:pt>
                <c:pt idx="31">
                  <c:v>20.251612903225784</c:v>
                </c:pt>
                <c:pt idx="32">
                  <c:v>14.953333333333164</c:v>
                </c:pt>
                <c:pt idx="33">
                  <c:v>10.574193548386956</c:v>
                </c:pt>
                <c:pt idx="34">
                  <c:v>6.2733333333332366</c:v>
                </c:pt>
                <c:pt idx="35">
                  <c:v>3.0548387096770906</c:v>
                </c:pt>
                <c:pt idx="36">
                  <c:v>1.4935483870965161</c:v>
                </c:pt>
                <c:pt idx="37">
                  <c:v>5.331034482758696</c:v>
                </c:pt>
                <c:pt idx="38">
                  <c:v>5.209677419354839</c:v>
                </c:pt>
                <c:pt idx="39">
                  <c:v>10.563333333333503</c:v>
                </c:pt>
                <c:pt idx="40">
                  <c:v>12.283870967742029</c:v>
                </c:pt>
                <c:pt idx="41">
                  <c:v>17.603333333333286</c:v>
                </c:pt>
                <c:pt idx="42">
                  <c:v>19.422580645161478</c:v>
                </c:pt>
                <c:pt idx="43">
                  <c:v>20.44838709677424</c:v>
                </c:pt>
                <c:pt idx="44">
                  <c:v>15.749999999999757</c:v>
                </c:pt>
                <c:pt idx="45">
                  <c:v>10.274193548387096</c:v>
                </c:pt>
                <c:pt idx="46">
                  <c:v>4.8533333333335271</c:v>
                </c:pt>
                <c:pt idx="47">
                  <c:v>2.922580645161478</c:v>
                </c:pt>
                <c:pt idx="48">
                  <c:v>9.0322580645020467E-2</c:v>
                </c:pt>
                <c:pt idx="49">
                  <c:v>-0.66428571428579219</c:v>
                </c:pt>
                <c:pt idx="50">
                  <c:v>4.2129032258067571</c:v>
                </c:pt>
                <c:pt idx="51">
                  <c:v>6.6066666666668121</c:v>
                </c:pt>
                <c:pt idx="52">
                  <c:v>11.622580645161385</c:v>
                </c:pt>
                <c:pt idx="53">
                  <c:v>19.990000000000023</c:v>
                </c:pt>
                <c:pt idx="54">
                  <c:v>19.780645161290344</c:v>
                </c:pt>
                <c:pt idx="55">
                  <c:v>17.383870967742101</c:v>
                </c:pt>
                <c:pt idx="56">
                  <c:v>16.033333333333577</c:v>
                </c:pt>
                <c:pt idx="57">
                  <c:v>9.1612903225809976</c:v>
                </c:pt>
                <c:pt idx="58">
                  <c:v>4.6599999999997328</c:v>
                </c:pt>
                <c:pt idx="59">
                  <c:v>1.8096774193551439</c:v>
                </c:pt>
              </c:numCache>
            </c:numRef>
          </c:yVal>
        </c:ser>
        <c:ser>
          <c:idx val="1"/>
          <c:order val="1"/>
          <c:tx>
            <c:strRef>
              <c:f>sajf!$C$5</c:f>
              <c:strCache>
                <c:ptCount val="1"/>
                <c:pt idx="0">
                  <c:v>°C sajf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sajf!$C$6:$C$65</c:f>
              <c:numCache>
                <c:formatCode>General</c:formatCode>
                <c:ptCount val="60"/>
                <c:pt idx="0">
                  <c:v>-5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13</c:v>
                </c:pt>
                <c:pt idx="9">
                  <c:v>11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-1</c:v>
                </c:pt>
                <c:pt idx="14">
                  <c:v>4</c:v>
                </c:pt>
                <c:pt idx="15">
                  <c:v>15</c:v>
                </c:pt>
                <c:pt idx="16">
                  <c:v>19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15</c:v>
                </c:pt>
                <c:pt idx="21">
                  <c:v>10</c:v>
                </c:pt>
                <c:pt idx="22">
                  <c:v>5</c:v>
                </c:pt>
                <c:pt idx="23">
                  <c:v>3</c:v>
                </c:pt>
                <c:pt idx="24">
                  <c:v>0</c:v>
                </c:pt>
                <c:pt idx="25">
                  <c:v>2</c:v>
                </c:pt>
                <c:pt idx="26">
                  <c:v>6</c:v>
                </c:pt>
                <c:pt idx="27">
                  <c:v>11</c:v>
                </c:pt>
                <c:pt idx="28">
                  <c:v>12</c:v>
                </c:pt>
                <c:pt idx="29">
                  <c:v>22</c:v>
                </c:pt>
                <c:pt idx="30">
                  <c:v>21</c:v>
                </c:pt>
                <c:pt idx="31">
                  <c:v>20</c:v>
                </c:pt>
                <c:pt idx="32">
                  <c:v>14</c:v>
                </c:pt>
                <c:pt idx="33">
                  <c:v>10</c:v>
                </c:pt>
                <c:pt idx="34">
                  <c:v>6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5</c:v>
                </c:pt>
                <c:pt idx="39">
                  <c:v>11</c:v>
                </c:pt>
                <c:pt idx="40">
                  <c:v>13</c:v>
                </c:pt>
                <c:pt idx="41">
                  <c:v>16</c:v>
                </c:pt>
                <c:pt idx="42">
                  <c:v>19</c:v>
                </c:pt>
                <c:pt idx="43">
                  <c:v>21</c:v>
                </c:pt>
                <c:pt idx="44">
                  <c:v>15</c:v>
                </c:pt>
                <c:pt idx="45">
                  <c:v>10</c:v>
                </c:pt>
                <c:pt idx="46">
                  <c:v>5</c:v>
                </c:pt>
                <c:pt idx="47">
                  <c:v>3</c:v>
                </c:pt>
                <c:pt idx="48">
                  <c:v>0</c:v>
                </c:pt>
                <c:pt idx="49">
                  <c:v>-2</c:v>
                </c:pt>
                <c:pt idx="50">
                  <c:v>4</c:v>
                </c:pt>
                <c:pt idx="51">
                  <c:v>2</c:v>
                </c:pt>
                <c:pt idx="52">
                  <c:v>13</c:v>
                </c:pt>
                <c:pt idx="53">
                  <c:v>20</c:v>
                </c:pt>
                <c:pt idx="54">
                  <c:v>19</c:v>
                </c:pt>
                <c:pt idx="55">
                  <c:v>17</c:v>
                </c:pt>
                <c:pt idx="56">
                  <c:v>16</c:v>
                </c:pt>
                <c:pt idx="57">
                  <c:v>8</c:v>
                </c:pt>
                <c:pt idx="58">
                  <c:v>5</c:v>
                </c:pt>
                <c:pt idx="59">
                  <c:v>2</c:v>
                </c:pt>
              </c:numCache>
            </c:numRef>
          </c:yVal>
        </c:ser>
        <c:axId val="148431232"/>
        <c:axId val="148432768"/>
      </c:scatterChart>
      <c:valAx>
        <c:axId val="148431232"/>
        <c:scaling>
          <c:orientation val="minMax"/>
        </c:scaling>
        <c:axPos val="b"/>
        <c:majorGridlines/>
        <c:numFmt formatCode="dd/mm/yyyy" sourceLinked="1"/>
        <c:tickLblPos val="nextTo"/>
        <c:txPr>
          <a:bodyPr rot="-840000"/>
          <a:lstStyle/>
          <a:p>
            <a:pPr>
              <a:defRPr/>
            </a:pPr>
            <a:endParaRPr lang="cs-CZ"/>
          </a:p>
        </c:txPr>
        <c:crossAx val="148432768"/>
        <c:crosses val="autoZero"/>
        <c:crossBetween val="midCat"/>
        <c:majorUnit val="180"/>
      </c:valAx>
      <c:valAx>
        <c:axId val="148432768"/>
        <c:scaling>
          <c:orientation val="minMax"/>
        </c:scaling>
        <c:axPos val="l"/>
        <c:majorGridlines/>
        <c:numFmt formatCode="General" sourceLinked="1"/>
        <c:tickLblPos val="nextTo"/>
        <c:crossAx val="14843123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kW plyn (kW) / TZ dle meteostanice (kW) / TZ dle Praha Kbely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sajf!$E$5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sajf!$E$6:$E$65</c:f>
              <c:numCache>
                <c:formatCode>General</c:formatCode>
                <c:ptCount val="60"/>
                <c:pt idx="0">
                  <c:v>7.6611424731182796</c:v>
                </c:pt>
                <c:pt idx="1">
                  <c:v>5.7289583333333329</c:v>
                </c:pt>
                <c:pt idx="2">
                  <c:v>3.9966801075268816</c:v>
                </c:pt>
                <c:pt idx="3">
                  <c:v>3.1000277777777772</c:v>
                </c:pt>
                <c:pt idx="4">
                  <c:v>1.3490053763440859</c:v>
                </c:pt>
                <c:pt idx="5">
                  <c:v>0.59295833333333325</c:v>
                </c:pt>
                <c:pt idx="6">
                  <c:v>0.57383064516129023</c:v>
                </c:pt>
                <c:pt idx="7">
                  <c:v>0.58389784946236545</c:v>
                </c:pt>
                <c:pt idx="8">
                  <c:v>1.810083333333333</c:v>
                </c:pt>
                <c:pt idx="9">
                  <c:v>2.6678091397849459</c:v>
                </c:pt>
                <c:pt idx="10">
                  <c:v>4.6292361111111111</c:v>
                </c:pt>
                <c:pt idx="11">
                  <c:v>5.9195161290322567</c:v>
                </c:pt>
                <c:pt idx="12">
                  <c:v>5.305416666666666</c:v>
                </c:pt>
                <c:pt idx="13">
                  <c:v>6.6875</c:v>
                </c:pt>
                <c:pt idx="14">
                  <c:v>5.6577688172043006</c:v>
                </c:pt>
                <c:pt idx="15">
                  <c:v>1.7892777777777775</c:v>
                </c:pt>
                <c:pt idx="16">
                  <c:v>0.95638440860215046</c:v>
                </c:pt>
                <c:pt idx="17">
                  <c:v>0.86343055555555537</c:v>
                </c:pt>
                <c:pt idx="18">
                  <c:v>0.78524193548387078</c:v>
                </c:pt>
                <c:pt idx="19">
                  <c:v>0.80537634408602155</c:v>
                </c:pt>
                <c:pt idx="20">
                  <c:v>1.3003472222222223</c:v>
                </c:pt>
                <c:pt idx="21">
                  <c:v>2.8590860215053757</c:v>
                </c:pt>
                <c:pt idx="22">
                  <c:v>4.7124583333333323</c:v>
                </c:pt>
                <c:pt idx="23">
                  <c:v>5.6074327956989238</c:v>
                </c:pt>
                <c:pt idx="24">
                  <c:v>6.4631451612903215</c:v>
                </c:pt>
                <c:pt idx="25">
                  <c:v>5.5617708333333322</c:v>
                </c:pt>
                <c:pt idx="26">
                  <c:v>4.5101075268817201</c:v>
                </c:pt>
                <c:pt idx="27">
                  <c:v>2.694319444444444</c:v>
                </c:pt>
                <c:pt idx="28">
                  <c:v>2.406061827956989</c:v>
                </c:pt>
                <c:pt idx="29">
                  <c:v>0.88423611111111089</c:v>
                </c:pt>
                <c:pt idx="30">
                  <c:v>0.86577956989247296</c:v>
                </c:pt>
                <c:pt idx="31">
                  <c:v>0.86577956989247296</c:v>
                </c:pt>
                <c:pt idx="32">
                  <c:v>1.5292083333333328</c:v>
                </c:pt>
                <c:pt idx="33">
                  <c:v>2.8792204301075262</c:v>
                </c:pt>
                <c:pt idx="34">
                  <c:v>4.7748749999999989</c:v>
                </c:pt>
                <c:pt idx="35">
                  <c:v>5.5973655913978488</c:v>
                </c:pt>
                <c:pt idx="36">
                  <c:v>5.5872983870967738</c:v>
                </c:pt>
                <c:pt idx="37">
                  <c:v>4.9933333333333323</c:v>
                </c:pt>
                <c:pt idx="38">
                  <c:v>4.570510752688171</c:v>
                </c:pt>
                <c:pt idx="39">
                  <c:v>2.0701527777777775</c:v>
                </c:pt>
                <c:pt idx="40">
                  <c:v>1.651021505376344</c:v>
                </c:pt>
                <c:pt idx="41">
                  <c:v>0.94665277777777757</c:v>
                </c:pt>
                <c:pt idx="42">
                  <c:v>0.6946370967741935</c:v>
                </c:pt>
                <c:pt idx="43">
                  <c:v>0.65436827956989241</c:v>
                </c:pt>
                <c:pt idx="44">
                  <c:v>1.113097222222222</c:v>
                </c:pt>
                <c:pt idx="45">
                  <c:v>3.1208333333333331</c:v>
                </c:pt>
                <c:pt idx="46">
                  <c:v>4.8789027777777774</c:v>
                </c:pt>
                <c:pt idx="47">
                  <c:v>5.6577688172043006</c:v>
                </c:pt>
                <c:pt idx="48">
                  <c:v>6.3926747311827956</c:v>
                </c:pt>
                <c:pt idx="49">
                  <c:v>6.5983333333333327</c:v>
                </c:pt>
                <c:pt idx="50">
                  <c:v>4.7819220430107521</c:v>
                </c:pt>
                <c:pt idx="51">
                  <c:v>3.8074166666666658</c:v>
                </c:pt>
                <c:pt idx="52">
                  <c:v>2.2147849462365592</c:v>
                </c:pt>
                <c:pt idx="53">
                  <c:v>0.85302777777777772</c:v>
                </c:pt>
                <c:pt idx="54">
                  <c:v>0.86577956989247296</c:v>
                </c:pt>
                <c:pt idx="55">
                  <c:v>0.95638440860215046</c:v>
                </c:pt>
                <c:pt idx="56">
                  <c:v>1.1443055555555555</c:v>
                </c:pt>
                <c:pt idx="57">
                  <c:v>3.5839247311827958</c:v>
                </c:pt>
                <c:pt idx="58">
                  <c:v>4.9725277777777768</c:v>
                </c:pt>
                <c:pt idx="59">
                  <c:v>5.7785752688172032</c:v>
                </c:pt>
              </c:numCache>
            </c:numRef>
          </c:yVal>
        </c:ser>
        <c:ser>
          <c:idx val="1"/>
          <c:order val="1"/>
          <c:tx>
            <c:strRef>
              <c:f>sajf!$F$5</c:f>
              <c:strCache>
                <c:ptCount val="1"/>
                <c:pt idx="0">
                  <c:v>kW ztráty Kbely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sajf!$F$6:$F$65</c:f>
              <c:numCache>
                <c:formatCode>General</c:formatCode>
                <c:ptCount val="60"/>
                <c:pt idx="0">
                  <c:v>8.4180645161290375</c:v>
                </c:pt>
                <c:pt idx="1">
                  <c:v>5.8770238095238225</c:v>
                </c:pt>
                <c:pt idx="2">
                  <c:v>3.8502150537634274</c:v>
                </c:pt>
                <c:pt idx="3">
                  <c:v>3.4815555555555604</c:v>
                </c:pt>
                <c:pt idx="4">
                  <c:v>0.94430107526881524</c:v>
                </c:pt>
                <c:pt idx="5">
                  <c:v>0.88</c:v>
                </c:pt>
                <c:pt idx="6">
                  <c:v>0.88</c:v>
                </c:pt>
                <c:pt idx="7">
                  <c:v>0.88</c:v>
                </c:pt>
                <c:pt idx="8">
                  <c:v>1.6134444444443696</c:v>
                </c:pt>
                <c:pt idx="9">
                  <c:v>2.43806451612901</c:v>
                </c:pt>
                <c:pt idx="10">
                  <c:v>4.7695555555555273</c:v>
                </c:pt>
                <c:pt idx="11">
                  <c:v>5.8361290322580102</c:v>
                </c:pt>
                <c:pt idx="12">
                  <c:v>5.3662365591397982</c:v>
                </c:pt>
                <c:pt idx="13">
                  <c:v>7.4199404761904857</c:v>
                </c:pt>
                <c:pt idx="14">
                  <c:v>5.9004301075268364</c:v>
                </c:pt>
                <c:pt idx="15">
                  <c:v>1.3783333333333336</c:v>
                </c:pt>
                <c:pt idx="16">
                  <c:v>0.88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0.88</c:v>
                </c:pt>
                <c:pt idx="21">
                  <c:v>2.4355913978494761</c:v>
                </c:pt>
                <c:pt idx="22">
                  <c:v>4.847499999999977</c:v>
                </c:pt>
                <c:pt idx="23">
                  <c:v>5.4874193548388046</c:v>
                </c:pt>
                <c:pt idx="24">
                  <c:v>6.5681720430107973</c:v>
                </c:pt>
                <c:pt idx="25">
                  <c:v>5.5621428571428329</c:v>
                </c:pt>
                <c:pt idx="26">
                  <c:v>3.7933333333333605</c:v>
                </c:pt>
                <c:pt idx="27">
                  <c:v>2.5181111111110734</c:v>
                </c:pt>
                <c:pt idx="28">
                  <c:v>2.0287634408602782</c:v>
                </c:pt>
                <c:pt idx="29">
                  <c:v>0.88</c:v>
                </c:pt>
                <c:pt idx="30">
                  <c:v>0.88</c:v>
                </c:pt>
                <c:pt idx="31">
                  <c:v>0.88</c:v>
                </c:pt>
                <c:pt idx="32">
                  <c:v>0.89788888888895368</c:v>
                </c:pt>
                <c:pt idx="33">
                  <c:v>2.5765591397850001</c:v>
                </c:pt>
                <c:pt idx="34">
                  <c:v>4.2252222222222588</c:v>
                </c:pt>
                <c:pt idx="35">
                  <c:v>5.458978494623782</c:v>
                </c:pt>
                <c:pt idx="36">
                  <c:v>6.0574731182796686</c:v>
                </c:pt>
                <c:pt idx="37">
                  <c:v>4.5864367816091667</c:v>
                </c:pt>
                <c:pt idx="38">
                  <c:v>4.6329569892473117</c:v>
                </c:pt>
                <c:pt idx="39">
                  <c:v>2.5807222222221573</c:v>
                </c:pt>
                <c:pt idx="40">
                  <c:v>1.9211827956988889</c:v>
                </c:pt>
                <c:pt idx="41">
                  <c:v>0.88</c:v>
                </c:pt>
                <c:pt idx="42">
                  <c:v>0.88</c:v>
                </c:pt>
                <c:pt idx="43">
                  <c:v>0.88</c:v>
                </c:pt>
                <c:pt idx="44">
                  <c:v>0.88</c:v>
                </c:pt>
                <c:pt idx="45">
                  <c:v>2.6915591397849465</c:v>
                </c:pt>
                <c:pt idx="46">
                  <c:v>4.7695555555554812</c:v>
                </c:pt>
                <c:pt idx="47">
                  <c:v>5.5096774193547668</c:v>
                </c:pt>
                <c:pt idx="48">
                  <c:v>6.595376344086076</c:v>
                </c:pt>
                <c:pt idx="49">
                  <c:v>6.8846428571428868</c:v>
                </c:pt>
                <c:pt idx="50">
                  <c:v>5.0150537634407426</c:v>
                </c:pt>
                <c:pt idx="51">
                  <c:v>4.0974444444443892</c:v>
                </c:pt>
                <c:pt idx="52">
                  <c:v>2.1746774193548024</c:v>
                </c:pt>
                <c:pt idx="53">
                  <c:v>0.88</c:v>
                </c:pt>
                <c:pt idx="54">
                  <c:v>0.88</c:v>
                </c:pt>
                <c:pt idx="55">
                  <c:v>0.88</c:v>
                </c:pt>
                <c:pt idx="56">
                  <c:v>0.88</c:v>
                </c:pt>
                <c:pt idx="57">
                  <c:v>3.1181720430106172</c:v>
                </c:pt>
                <c:pt idx="58">
                  <c:v>4.8436666666667687</c:v>
                </c:pt>
                <c:pt idx="59">
                  <c:v>5.9362903225805281</c:v>
                </c:pt>
              </c:numCache>
            </c:numRef>
          </c:yVal>
        </c:ser>
        <c:ser>
          <c:idx val="2"/>
          <c:order val="2"/>
          <c:tx>
            <c:strRef>
              <c:f>sajf!$G$5</c:f>
              <c:strCache>
                <c:ptCount val="1"/>
                <c:pt idx="0">
                  <c:v>Kw ztr mistni</c:v>
                </c:pt>
              </c:strCache>
            </c:strRef>
          </c:tx>
          <c:marker>
            <c:symbol val="none"/>
          </c:marker>
          <c:xVal>
            <c:numRef>
              <c:f>sajf!$A$6:$A$65</c:f>
              <c:numCache>
                <c:formatCode>dd/mm/yyyy</c:formatCode>
                <c:ptCount val="60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</c:numCache>
            </c:numRef>
          </c:xVal>
          <c:yVal>
            <c:numRef>
              <c:f>sajf!$G$6:$G$65</c:f>
              <c:numCache>
                <c:formatCode>General</c:formatCode>
                <c:ptCount val="60"/>
                <c:pt idx="0">
                  <c:v>8.5466666666666669</c:v>
                </c:pt>
                <c:pt idx="1">
                  <c:v>5.8633333333333333</c:v>
                </c:pt>
                <c:pt idx="2">
                  <c:v>3.9466666666666668</c:v>
                </c:pt>
                <c:pt idx="3">
                  <c:v>3.563333333333333</c:v>
                </c:pt>
                <c:pt idx="4">
                  <c:v>0.88</c:v>
                </c:pt>
                <c:pt idx="5">
                  <c:v>0.88</c:v>
                </c:pt>
                <c:pt idx="6">
                  <c:v>0.88</c:v>
                </c:pt>
                <c:pt idx="7">
                  <c:v>0.88</c:v>
                </c:pt>
                <c:pt idx="8">
                  <c:v>1.6466666666666667</c:v>
                </c:pt>
                <c:pt idx="9">
                  <c:v>2.4133333333333336</c:v>
                </c:pt>
                <c:pt idx="10">
                  <c:v>4.7133333333333338</c:v>
                </c:pt>
                <c:pt idx="11">
                  <c:v>5.8633333333333333</c:v>
                </c:pt>
                <c:pt idx="12">
                  <c:v>5.4799999999999995</c:v>
                </c:pt>
                <c:pt idx="13">
                  <c:v>7.0133333333333336</c:v>
                </c:pt>
                <c:pt idx="14">
                  <c:v>5.0966666666666667</c:v>
                </c:pt>
                <c:pt idx="15">
                  <c:v>0.88</c:v>
                </c:pt>
                <c:pt idx="16">
                  <c:v>0.88</c:v>
                </c:pt>
                <c:pt idx="17">
                  <c:v>0.88</c:v>
                </c:pt>
                <c:pt idx="18">
                  <c:v>0.88</c:v>
                </c:pt>
                <c:pt idx="19">
                  <c:v>0.88</c:v>
                </c:pt>
                <c:pt idx="20">
                  <c:v>0.88</c:v>
                </c:pt>
                <c:pt idx="21">
                  <c:v>2.7966666666666669</c:v>
                </c:pt>
                <c:pt idx="22">
                  <c:v>4.7133333333333338</c:v>
                </c:pt>
                <c:pt idx="23">
                  <c:v>5.4799999999999995</c:v>
                </c:pt>
                <c:pt idx="24">
                  <c:v>6.63</c:v>
                </c:pt>
                <c:pt idx="25">
                  <c:v>5.8633333333333333</c:v>
                </c:pt>
                <c:pt idx="26">
                  <c:v>4.33</c:v>
                </c:pt>
                <c:pt idx="27">
                  <c:v>2.4133333333333336</c:v>
                </c:pt>
                <c:pt idx="28">
                  <c:v>2.0299999999999998</c:v>
                </c:pt>
                <c:pt idx="29">
                  <c:v>0.88</c:v>
                </c:pt>
                <c:pt idx="30">
                  <c:v>0.88</c:v>
                </c:pt>
                <c:pt idx="31">
                  <c:v>0.88</c:v>
                </c:pt>
                <c:pt idx="32">
                  <c:v>1.2633333333333334</c:v>
                </c:pt>
                <c:pt idx="33">
                  <c:v>2.7966666666666669</c:v>
                </c:pt>
                <c:pt idx="34">
                  <c:v>4.33</c:v>
                </c:pt>
                <c:pt idx="35">
                  <c:v>5.4799999999999995</c:v>
                </c:pt>
                <c:pt idx="36">
                  <c:v>5.8633333333333333</c:v>
                </c:pt>
                <c:pt idx="37">
                  <c:v>5.0966666666666667</c:v>
                </c:pt>
                <c:pt idx="38">
                  <c:v>4.7133333333333338</c:v>
                </c:pt>
                <c:pt idx="39">
                  <c:v>2.4133333333333336</c:v>
                </c:pt>
                <c:pt idx="40">
                  <c:v>1.6466666666666667</c:v>
                </c:pt>
                <c:pt idx="41">
                  <c:v>0.88</c:v>
                </c:pt>
                <c:pt idx="42">
                  <c:v>0.88</c:v>
                </c:pt>
                <c:pt idx="43">
                  <c:v>0.88</c:v>
                </c:pt>
                <c:pt idx="44">
                  <c:v>0.88</c:v>
                </c:pt>
                <c:pt idx="45">
                  <c:v>2.7966666666666669</c:v>
                </c:pt>
                <c:pt idx="46">
                  <c:v>4.7133333333333338</c:v>
                </c:pt>
                <c:pt idx="47">
                  <c:v>5.4799999999999995</c:v>
                </c:pt>
                <c:pt idx="48">
                  <c:v>6.63</c:v>
                </c:pt>
                <c:pt idx="49">
                  <c:v>7.3966666666666665</c:v>
                </c:pt>
                <c:pt idx="50">
                  <c:v>5.0966666666666667</c:v>
                </c:pt>
                <c:pt idx="51">
                  <c:v>5.8633333333333333</c:v>
                </c:pt>
                <c:pt idx="52">
                  <c:v>1.6466666666666667</c:v>
                </c:pt>
                <c:pt idx="53">
                  <c:v>0.88</c:v>
                </c:pt>
                <c:pt idx="54">
                  <c:v>0.88</c:v>
                </c:pt>
                <c:pt idx="55">
                  <c:v>0.88</c:v>
                </c:pt>
                <c:pt idx="56">
                  <c:v>0.88</c:v>
                </c:pt>
                <c:pt idx="57">
                  <c:v>3.563333333333333</c:v>
                </c:pt>
                <c:pt idx="58">
                  <c:v>4.7133333333333338</c:v>
                </c:pt>
                <c:pt idx="59">
                  <c:v>5.8633333333333333</c:v>
                </c:pt>
              </c:numCache>
            </c:numRef>
          </c:yVal>
        </c:ser>
        <c:axId val="148589568"/>
        <c:axId val="148595456"/>
      </c:scatterChart>
      <c:valAx>
        <c:axId val="148589568"/>
        <c:scaling>
          <c:orientation val="minMax"/>
        </c:scaling>
        <c:axPos val="b"/>
        <c:majorGridlines/>
        <c:numFmt formatCode="dd/mm/yyyy" sourceLinked="1"/>
        <c:tickLblPos val="nextTo"/>
        <c:txPr>
          <a:bodyPr rot="-780000"/>
          <a:lstStyle/>
          <a:p>
            <a:pPr>
              <a:defRPr/>
            </a:pPr>
            <a:endParaRPr lang="cs-CZ"/>
          </a:p>
        </c:txPr>
        <c:crossAx val="148595456"/>
        <c:crosses val="autoZero"/>
        <c:crossBetween val="midCat"/>
        <c:majorUnit val="180"/>
      </c:valAx>
      <c:valAx>
        <c:axId val="148595456"/>
        <c:scaling>
          <c:orientation val="minMax"/>
        </c:scaling>
        <c:axPos val="l"/>
        <c:majorGridlines/>
        <c:numFmt formatCode="General" sourceLinked="1"/>
        <c:tickLblPos val="nextTo"/>
        <c:crossAx val="1485895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step!$E$5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step!$A$18:$A$63</c:f>
              <c:numCache>
                <c:formatCode>dd/mm/yy\ hh:mm</c:formatCode>
                <c:ptCount val="46"/>
                <c:pt idx="0">
                  <c:v>42198.701388888891</c:v>
                </c:pt>
                <c:pt idx="1">
                  <c:v>42293.770138888889</c:v>
                </c:pt>
                <c:pt idx="2">
                  <c:v>42327.395833333336</c:v>
                </c:pt>
                <c:pt idx="3">
                  <c:v>42355.708333333336</c:v>
                </c:pt>
                <c:pt idx="4">
                  <c:v>42389.958333333336</c:v>
                </c:pt>
                <c:pt idx="5">
                  <c:v>42526.470833333333</c:v>
                </c:pt>
                <c:pt idx="6">
                  <c:v>42651.955555555556</c:v>
                </c:pt>
                <c:pt idx="7">
                  <c:v>42700.9375</c:v>
                </c:pt>
                <c:pt idx="8">
                  <c:v>42711.826388888891</c:v>
                </c:pt>
                <c:pt idx="9">
                  <c:v>42738.662499999999</c:v>
                </c:pt>
                <c:pt idx="10">
                  <c:v>42762.95416666667</c:v>
                </c:pt>
                <c:pt idx="11">
                  <c:v>42801.708333333336</c:v>
                </c:pt>
                <c:pt idx="12" formatCode="dd/mm/yyyy\ h:mm">
                  <c:v>42833.958333333336</c:v>
                </c:pt>
                <c:pt idx="13" formatCode="dd/mm/yyyy\ h:mm">
                  <c:v>42950.625</c:v>
                </c:pt>
                <c:pt idx="14" formatCode="dd/mm/yyyy\ h:mm">
                  <c:v>43001.554166666669</c:v>
                </c:pt>
                <c:pt idx="15" formatCode="dd/mm/yyyy\ h:mm">
                  <c:v>43073.920138888891</c:v>
                </c:pt>
                <c:pt idx="16" formatCode="dd/mm/yyyy\ h:mm">
                  <c:v>43108.833333333336</c:v>
                </c:pt>
                <c:pt idx="17" formatCode="dd/mm/yyyy\ h:mm">
                  <c:v>43163.455555555556</c:v>
                </c:pt>
                <c:pt idx="18" formatCode="dd/mm/yyyy\ h:mm">
                  <c:v>43195.386805555558</c:v>
                </c:pt>
                <c:pt idx="19" formatCode="dd/mm/yyyy\ h:mm">
                  <c:v>43285.888888888891</c:v>
                </c:pt>
                <c:pt idx="20" formatCode="dd/mm/yyyy\ h:mm">
                  <c:v>43304.918055555558</c:v>
                </c:pt>
                <c:pt idx="21" formatCode="dd/mm/yyyy\ h:mm">
                  <c:v>43372.461111111108</c:v>
                </c:pt>
                <c:pt idx="22" formatCode="dd/mm/yyyy\ h:mm">
                  <c:v>43385.879166666666</c:v>
                </c:pt>
                <c:pt idx="23" formatCode="dd/mm/yyyy\ h:mm">
                  <c:v>43432.737500000003</c:v>
                </c:pt>
                <c:pt idx="24" formatCode="d/m/yy\ h:mm;@">
                  <c:v>43464.875</c:v>
                </c:pt>
                <c:pt idx="25" formatCode="dd/mm/yyyy\ h:mm">
                  <c:v>43500.821527777778</c:v>
                </c:pt>
                <c:pt idx="26" formatCode="dd/mm/yyyy\ h:mm">
                  <c:v>43519.472916666666</c:v>
                </c:pt>
                <c:pt idx="27" formatCode="dd/mm/yyyy\ h:mm">
                  <c:v>43537.772222222222</c:v>
                </c:pt>
                <c:pt idx="28" formatCode="dd/mm/yyyy\ h:mm">
                  <c:v>43775.793055555558</c:v>
                </c:pt>
              </c:numCache>
            </c:numRef>
          </c:xVal>
          <c:yVal>
            <c:numRef>
              <c:f>step!$E$18:$E$63</c:f>
              <c:numCache>
                <c:formatCode>General</c:formatCode>
                <c:ptCount val="46"/>
                <c:pt idx="0">
                  <c:v>0.2584258225219111</c:v>
                </c:pt>
                <c:pt idx="1">
                  <c:v>0.44342049306423625</c:v>
                </c:pt>
                <c:pt idx="2">
                  <c:v>1.5123202907828235</c:v>
                </c:pt>
                <c:pt idx="3">
                  <c:v>2.1576642119205296</c:v>
                </c:pt>
                <c:pt idx="4">
                  <c:v>1.998316379562044</c:v>
                </c:pt>
                <c:pt idx="5">
                  <c:v>2.1860426261331845</c:v>
                </c:pt>
                <c:pt idx="6">
                  <c:v>0.94186812471636894</c:v>
                </c:pt>
                <c:pt idx="7">
                  <c:v>2.5339512632206072</c:v>
                </c:pt>
                <c:pt idx="8">
                  <c:v>3.4939212244892719</c:v>
                </c:pt>
                <c:pt idx="9">
                  <c:v>2.7265828382158177</c:v>
                </c:pt>
                <c:pt idx="10">
                  <c:v>2.8316714922807402</c:v>
                </c:pt>
                <c:pt idx="11">
                  <c:v>2.4786542522310042</c:v>
                </c:pt>
                <c:pt idx="12">
                  <c:v>2.4863813953488356</c:v>
                </c:pt>
                <c:pt idx="13">
                  <c:v>1.5419335885714613</c:v>
                </c:pt>
                <c:pt idx="14">
                  <c:v>1.1385087130818505</c:v>
                </c:pt>
                <c:pt idx="15">
                  <c:v>1.9905089032406742</c:v>
                </c:pt>
                <c:pt idx="16">
                  <c:v>2.8434939162605035</c:v>
                </c:pt>
                <c:pt idx="17">
                  <c:v>3.2316524816925329</c:v>
                </c:pt>
                <c:pt idx="18">
                  <c:v>3.4326856605987857</c:v>
                </c:pt>
                <c:pt idx="19">
                  <c:v>1.2825847950093312</c:v>
                </c:pt>
                <c:pt idx="20">
                  <c:v>0.87027478870153718</c:v>
                </c:pt>
                <c:pt idx="21">
                  <c:v>0.31721514260453254</c:v>
                </c:pt>
                <c:pt idx="22">
                  <c:v>1.2489076327500515</c:v>
                </c:pt>
                <c:pt idx="23">
                  <c:v>1.8835684012091596</c:v>
                </c:pt>
                <c:pt idx="24">
                  <c:v>2.0878808868146628</c:v>
                </c:pt>
                <c:pt idx="25">
                  <c:v>1.6805176948785638</c:v>
                </c:pt>
                <c:pt idx="26">
                  <c:v>1.4354716509048642</c:v>
                </c:pt>
                <c:pt idx="27">
                  <c:v>2.4670575537929271</c:v>
                </c:pt>
                <c:pt idx="28">
                  <c:v>1.2198047201750424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264-426F-B233-EAACF51DF6A5}"/>
            </c:ext>
          </c:extLst>
        </c:ser>
        <c:ser>
          <c:idx val="1"/>
          <c:order val="1"/>
          <c:tx>
            <c:strRef>
              <c:f>step!$F$5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step!$A$18:$A$63</c:f>
              <c:numCache>
                <c:formatCode>dd/mm/yy\ hh:mm</c:formatCode>
                <c:ptCount val="46"/>
                <c:pt idx="0">
                  <c:v>42198.701388888891</c:v>
                </c:pt>
                <c:pt idx="1">
                  <c:v>42293.770138888889</c:v>
                </c:pt>
                <c:pt idx="2">
                  <c:v>42327.395833333336</c:v>
                </c:pt>
                <c:pt idx="3">
                  <c:v>42355.708333333336</c:v>
                </c:pt>
                <c:pt idx="4">
                  <c:v>42389.958333333336</c:v>
                </c:pt>
                <c:pt idx="5">
                  <c:v>42526.470833333333</c:v>
                </c:pt>
                <c:pt idx="6">
                  <c:v>42651.955555555556</c:v>
                </c:pt>
                <c:pt idx="7">
                  <c:v>42700.9375</c:v>
                </c:pt>
                <c:pt idx="8">
                  <c:v>42711.826388888891</c:v>
                </c:pt>
                <c:pt idx="9">
                  <c:v>42738.662499999999</c:v>
                </c:pt>
                <c:pt idx="10">
                  <c:v>42762.95416666667</c:v>
                </c:pt>
                <c:pt idx="11">
                  <c:v>42801.708333333336</c:v>
                </c:pt>
                <c:pt idx="12" formatCode="dd/mm/yyyy\ h:mm">
                  <c:v>42833.958333333336</c:v>
                </c:pt>
                <c:pt idx="13" formatCode="dd/mm/yyyy\ h:mm">
                  <c:v>42950.625</c:v>
                </c:pt>
                <c:pt idx="14" formatCode="dd/mm/yyyy\ h:mm">
                  <c:v>43001.554166666669</c:v>
                </c:pt>
                <c:pt idx="15" formatCode="dd/mm/yyyy\ h:mm">
                  <c:v>43073.920138888891</c:v>
                </c:pt>
                <c:pt idx="16" formatCode="dd/mm/yyyy\ h:mm">
                  <c:v>43108.833333333336</c:v>
                </c:pt>
                <c:pt idx="17" formatCode="dd/mm/yyyy\ h:mm">
                  <c:v>43163.455555555556</c:v>
                </c:pt>
                <c:pt idx="18" formatCode="dd/mm/yyyy\ h:mm">
                  <c:v>43195.386805555558</c:v>
                </c:pt>
                <c:pt idx="19" formatCode="dd/mm/yyyy\ h:mm">
                  <c:v>43285.888888888891</c:v>
                </c:pt>
                <c:pt idx="20" formatCode="dd/mm/yyyy\ h:mm">
                  <c:v>43304.918055555558</c:v>
                </c:pt>
                <c:pt idx="21" formatCode="dd/mm/yyyy\ h:mm">
                  <c:v>43372.461111111108</c:v>
                </c:pt>
                <c:pt idx="22" formatCode="dd/mm/yyyy\ h:mm">
                  <c:v>43385.879166666666</c:v>
                </c:pt>
                <c:pt idx="23" formatCode="dd/mm/yyyy\ h:mm">
                  <c:v>43432.737500000003</c:v>
                </c:pt>
                <c:pt idx="24" formatCode="d/m/yy\ h:mm;@">
                  <c:v>43464.875</c:v>
                </c:pt>
                <c:pt idx="25" formatCode="dd/mm/yyyy\ h:mm">
                  <c:v>43500.821527777778</c:v>
                </c:pt>
                <c:pt idx="26" formatCode="dd/mm/yyyy\ h:mm">
                  <c:v>43519.472916666666</c:v>
                </c:pt>
                <c:pt idx="27" formatCode="dd/mm/yyyy\ h:mm">
                  <c:v>43537.772222222222</c:v>
                </c:pt>
                <c:pt idx="28" formatCode="dd/mm/yyyy\ h:mm">
                  <c:v>43775.793055555558</c:v>
                </c:pt>
              </c:numCache>
            </c:numRef>
          </c:xVal>
          <c:yVal>
            <c:numRef>
              <c:f>step!$F$18:$F$63</c:f>
              <c:numCache>
                <c:formatCode>General</c:formatCode>
                <c:ptCount val="46"/>
                <c:pt idx="0">
                  <c:v>1.1366777374169614</c:v>
                </c:pt>
                <c:pt idx="1">
                  <c:v>0.9924061534415517</c:v>
                </c:pt>
                <c:pt idx="2">
                  <c:v>2.118678052911009</c:v>
                </c:pt>
                <c:pt idx="3">
                  <c:v>2.7768609271523195</c:v>
                </c:pt>
                <c:pt idx="4">
                  <c:v>3.1181751824817505</c:v>
                </c:pt>
                <c:pt idx="5">
                  <c:v>2.2602829411225871</c:v>
                </c:pt>
                <c:pt idx="6">
                  <c:v>0.91976967094270234</c:v>
                </c:pt>
                <c:pt idx="7">
                  <c:v>2.4952859613803207</c:v>
                </c:pt>
                <c:pt idx="8">
                  <c:v>3.3571530612244684</c:v>
                </c:pt>
                <c:pt idx="9">
                  <c:v>3.1551920091087666</c:v>
                </c:pt>
                <c:pt idx="10">
                  <c:v>3.852257289879816</c:v>
                </c:pt>
                <c:pt idx="11">
                  <c:v>3.0254585528437783</c:v>
                </c:pt>
                <c:pt idx="12">
                  <c:v>2.2050077519379778</c:v>
                </c:pt>
                <c:pt idx="13">
                  <c:v>1.1639999999999595</c:v>
                </c:pt>
                <c:pt idx="14">
                  <c:v>1.1278875889716766</c:v>
                </c:pt>
                <c:pt idx="15">
                  <c:v>2.2363373861640667</c:v>
                </c:pt>
                <c:pt idx="16">
                  <c:v>2.8723279960218715</c:v>
                </c:pt>
                <c:pt idx="17">
                  <c:v>3.3218836452400407</c:v>
                </c:pt>
                <c:pt idx="18">
                  <c:v>2.7301526717557336</c:v>
                </c:pt>
                <c:pt idx="19">
                  <c:v>1.0617745908243283</c:v>
                </c:pt>
                <c:pt idx="20">
                  <c:v>0.8</c:v>
                </c:pt>
                <c:pt idx="21">
                  <c:v>0.8</c:v>
                </c:pt>
                <c:pt idx="22">
                  <c:v>1.7739999999999783</c:v>
                </c:pt>
                <c:pt idx="23">
                  <c:v>2.5688227848101413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264-426F-B233-EAACF51DF6A5}"/>
            </c:ext>
          </c:extLst>
        </c:ser>
        <c:axId val="148704256"/>
        <c:axId val="148710144"/>
      </c:scatterChart>
      <c:valAx>
        <c:axId val="148704256"/>
        <c:scaling>
          <c:orientation val="minMax"/>
        </c:scaling>
        <c:axPos val="b"/>
        <c:majorGridlines/>
        <c:minorGridlines/>
        <c:numFmt formatCode="dd/mm/yy\ hh:mm" sourceLinked="1"/>
        <c:tickLblPos val="nextTo"/>
        <c:txPr>
          <a:bodyPr rot="-660000"/>
          <a:lstStyle/>
          <a:p>
            <a:pPr>
              <a:defRPr/>
            </a:pPr>
            <a:endParaRPr lang="cs-CZ"/>
          </a:p>
        </c:txPr>
        <c:crossAx val="148710144"/>
        <c:crosses val="autoZero"/>
        <c:crossBetween val="midCat"/>
        <c:majorUnit val="180"/>
        <c:minorUnit val="30"/>
      </c:valAx>
      <c:valAx>
        <c:axId val="148710144"/>
        <c:scaling>
          <c:orientation val="minMax"/>
        </c:scaling>
        <c:axPos val="l"/>
        <c:majorGridlines/>
        <c:numFmt formatCode="General" sourceLinked="1"/>
        <c:tickLblPos val="nextTo"/>
        <c:crossAx val="14870425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step!$A$6:$A$46</c:f>
              <c:numCache>
                <c:formatCode>dd/mm/yy\ hh:mm</c:formatCode>
                <c:ptCount val="41"/>
                <c:pt idx="0">
                  <c:v>41968.840277777781</c:v>
                </c:pt>
                <c:pt idx="1">
                  <c:v>41970.740972222222</c:v>
                </c:pt>
                <c:pt idx="2">
                  <c:v>41999.756944444445</c:v>
                </c:pt>
                <c:pt idx="3">
                  <c:v>42000.642361111109</c:v>
                </c:pt>
                <c:pt idx="4">
                  <c:v>42020.75</c:v>
                </c:pt>
                <c:pt idx="5">
                  <c:v>42024.5625</c:v>
                </c:pt>
                <c:pt idx="6">
                  <c:v>42030.493055555555</c:v>
                </c:pt>
                <c:pt idx="7">
                  <c:v>42053.833333333336</c:v>
                </c:pt>
                <c:pt idx="8">
                  <c:v>42053.916666666664</c:v>
                </c:pt>
                <c:pt idx="9">
                  <c:v>42071.493055555555</c:v>
                </c:pt>
                <c:pt idx="10">
                  <c:v>42072.815972222219</c:v>
                </c:pt>
                <c:pt idx="11">
                  <c:v>42192.010416666664</c:v>
                </c:pt>
                <c:pt idx="12">
                  <c:v>42198.701388888891</c:v>
                </c:pt>
                <c:pt idx="13">
                  <c:v>42293.770138888889</c:v>
                </c:pt>
                <c:pt idx="14">
                  <c:v>42327.395833333336</c:v>
                </c:pt>
                <c:pt idx="15">
                  <c:v>42355.708333333336</c:v>
                </c:pt>
                <c:pt idx="16">
                  <c:v>42389.958333333336</c:v>
                </c:pt>
                <c:pt idx="17">
                  <c:v>42526.470833333333</c:v>
                </c:pt>
                <c:pt idx="18">
                  <c:v>42651.955555555556</c:v>
                </c:pt>
                <c:pt idx="19">
                  <c:v>42700.9375</c:v>
                </c:pt>
                <c:pt idx="20">
                  <c:v>42711.826388888891</c:v>
                </c:pt>
                <c:pt idx="21">
                  <c:v>42738.662499999999</c:v>
                </c:pt>
                <c:pt idx="22">
                  <c:v>42762.95416666667</c:v>
                </c:pt>
                <c:pt idx="23">
                  <c:v>42801.708333333336</c:v>
                </c:pt>
                <c:pt idx="24" formatCode="dd/mm/yyyy\ h:mm">
                  <c:v>42833.958333333336</c:v>
                </c:pt>
                <c:pt idx="25" formatCode="dd/mm/yyyy\ h:mm">
                  <c:v>42950.625</c:v>
                </c:pt>
                <c:pt idx="26" formatCode="dd/mm/yyyy\ h:mm">
                  <c:v>43001.554166666669</c:v>
                </c:pt>
                <c:pt idx="27" formatCode="dd/mm/yyyy\ h:mm">
                  <c:v>43073.920138888891</c:v>
                </c:pt>
                <c:pt idx="28" formatCode="dd/mm/yyyy\ h:mm">
                  <c:v>43108.833333333336</c:v>
                </c:pt>
                <c:pt idx="29" formatCode="dd/mm/yyyy\ h:mm">
                  <c:v>43163.455555555556</c:v>
                </c:pt>
                <c:pt idx="30" formatCode="dd/mm/yyyy\ h:mm">
                  <c:v>43195.386805555558</c:v>
                </c:pt>
                <c:pt idx="31" formatCode="dd/mm/yyyy\ h:mm">
                  <c:v>43285.888888888891</c:v>
                </c:pt>
                <c:pt idx="32" formatCode="dd/mm/yyyy\ h:mm">
                  <c:v>43304.918055555558</c:v>
                </c:pt>
                <c:pt idx="33" formatCode="dd/mm/yyyy\ h:mm">
                  <c:v>43372.461111111108</c:v>
                </c:pt>
                <c:pt idx="34" formatCode="dd/mm/yyyy\ h:mm">
                  <c:v>43385.879166666666</c:v>
                </c:pt>
                <c:pt idx="35" formatCode="dd/mm/yyyy\ h:mm">
                  <c:v>43432.737500000003</c:v>
                </c:pt>
                <c:pt idx="36" formatCode="d/m/yy\ h:mm;@">
                  <c:v>43464.875</c:v>
                </c:pt>
                <c:pt idx="37" formatCode="dd/mm/yyyy\ h:mm">
                  <c:v>43500.821527777778</c:v>
                </c:pt>
                <c:pt idx="38" formatCode="dd/mm/yyyy\ h:mm">
                  <c:v>43519.472916666666</c:v>
                </c:pt>
                <c:pt idx="39" formatCode="dd/mm/yyyy\ h:mm">
                  <c:v>43537.772222222222</c:v>
                </c:pt>
                <c:pt idx="40" formatCode="dd/mm/yyyy\ h:mm">
                  <c:v>43775.793055555558</c:v>
                </c:pt>
              </c:numCache>
            </c:numRef>
          </c:xVal>
          <c:yVal>
            <c:numRef>
              <c:f>step!$B$6:$B$46</c:f>
              <c:numCache>
                <c:formatCode>General</c:formatCode>
                <c:ptCount val="41"/>
                <c:pt idx="0">
                  <c:v>139.12</c:v>
                </c:pt>
                <c:pt idx="1">
                  <c:v>149.078</c:v>
                </c:pt>
                <c:pt idx="2">
                  <c:v>298.05799999999999</c:v>
                </c:pt>
                <c:pt idx="3">
                  <c:v>302.18599999999998</c:v>
                </c:pt>
                <c:pt idx="4">
                  <c:v>420.90499999999997</c:v>
                </c:pt>
                <c:pt idx="5">
                  <c:v>441.28199999999998</c:v>
                </c:pt>
                <c:pt idx="6">
                  <c:v>475.39299999999997</c:v>
                </c:pt>
                <c:pt idx="7">
                  <c:v>627.79</c:v>
                </c:pt>
                <c:pt idx="8">
                  <c:v>628.85</c:v>
                </c:pt>
                <c:pt idx="9">
                  <c:v>724.83699999999999</c:v>
                </c:pt>
                <c:pt idx="10">
                  <c:v>730.40200000000004</c:v>
                </c:pt>
                <c:pt idx="11">
                  <c:v>1037.6199999999999</c:v>
                </c:pt>
                <c:pt idx="12">
                  <c:v>1041.6600000000001</c:v>
                </c:pt>
                <c:pt idx="13">
                  <c:v>1140.154</c:v>
                </c:pt>
                <c:pt idx="14">
                  <c:v>1258.9690000000001</c:v>
                </c:pt>
                <c:pt idx="15">
                  <c:v>1401.7</c:v>
                </c:pt>
                <c:pt idx="16">
                  <c:v>1561.6120000000001</c:v>
                </c:pt>
                <c:pt idx="17">
                  <c:v>2258.86</c:v>
                </c:pt>
                <c:pt idx="18">
                  <c:v>2535.0050000000001</c:v>
                </c:pt>
                <c:pt idx="19">
                  <c:v>2825</c:v>
                </c:pt>
                <c:pt idx="20">
                  <c:v>2913.89</c:v>
                </c:pt>
                <c:pt idx="21">
                  <c:v>3084.85</c:v>
                </c:pt>
                <c:pt idx="22">
                  <c:v>3245.5650000000001</c:v>
                </c:pt>
                <c:pt idx="23">
                  <c:v>3470</c:v>
                </c:pt>
                <c:pt idx="24">
                  <c:v>3657.35</c:v>
                </c:pt>
                <c:pt idx="25">
                  <c:v>4077.6590000000001</c:v>
                </c:pt>
                <c:pt idx="26">
                  <c:v>4213.134</c:v>
                </c:pt>
                <c:pt idx="27">
                  <c:v>4549.6880000000001</c:v>
                </c:pt>
                <c:pt idx="28">
                  <c:v>4781.6400000000003</c:v>
                </c:pt>
                <c:pt idx="29">
                  <c:v>5194.07</c:v>
                </c:pt>
                <c:pt idx="30">
                  <c:v>5450.1679999999997</c:v>
                </c:pt>
                <c:pt idx="31">
                  <c:v>5721.375</c:v>
                </c:pt>
                <c:pt idx="32">
                  <c:v>5760.0680000000002</c:v>
                </c:pt>
                <c:pt idx="33">
                  <c:v>5810.1279999999997</c:v>
                </c:pt>
                <c:pt idx="34">
                  <c:v>5849.2820000000002</c:v>
                </c:pt>
                <c:pt idx="35">
                  <c:v>6055.4989999999998</c:v>
                </c:pt>
                <c:pt idx="36">
                  <c:v>6212.2730000000001</c:v>
                </c:pt>
                <c:pt idx="37">
                  <c:v>6353.415</c:v>
                </c:pt>
                <c:pt idx="38">
                  <c:v>6415.97</c:v>
                </c:pt>
                <c:pt idx="39">
                  <c:v>6521.45</c:v>
                </c:pt>
                <c:pt idx="40">
                  <c:v>7199.8119999999999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B752-46C3-9315-793C77A591E4}"/>
            </c:ext>
          </c:extLst>
        </c:ser>
        <c:axId val="148720640"/>
        <c:axId val="148726528"/>
      </c:scatterChart>
      <c:valAx>
        <c:axId val="148720640"/>
        <c:scaling>
          <c:orientation val="minMax"/>
        </c:scaling>
        <c:axPos val="b"/>
        <c:numFmt formatCode="dd/mm/yy\ hh:mm" sourceLinked="1"/>
        <c:tickLblPos val="nextTo"/>
        <c:crossAx val="148726528"/>
        <c:crosses val="autoZero"/>
        <c:crossBetween val="midCat"/>
      </c:valAx>
      <c:valAx>
        <c:axId val="148726528"/>
        <c:scaling>
          <c:orientation val="minMax"/>
        </c:scaling>
        <c:axPos val="l"/>
        <c:majorGridlines/>
        <c:numFmt formatCode="General" sourceLinked="1"/>
        <c:tickLblPos val="nextTo"/>
        <c:crossAx val="148720640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TZ (kW) / plyn (kW) 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kozik!$E$4</c:f>
              <c:strCache>
                <c:ptCount val="1"/>
                <c:pt idx="0">
                  <c:v>TZ (kW)</c:v>
                </c:pt>
              </c:strCache>
            </c:strRef>
          </c:tx>
          <c:marker>
            <c:symbol val="none"/>
          </c:marker>
          <c:xVal>
            <c:numRef>
              <c:f>kozik!$B$5:$B$259</c:f>
              <c:numCache>
                <c:formatCode>dd/mm/yyyy</c:formatCode>
                <c:ptCount val="255"/>
                <c:pt idx="0">
                  <c:v>43709</c:v>
                </c:pt>
                <c:pt idx="1">
                  <c:v>43728</c:v>
                </c:pt>
                <c:pt idx="2">
                  <c:v>43739</c:v>
                </c:pt>
                <c:pt idx="3">
                  <c:v>43740</c:v>
                </c:pt>
                <c:pt idx="4">
                  <c:v>43741</c:v>
                </c:pt>
                <c:pt idx="5">
                  <c:v>43742</c:v>
                </c:pt>
                <c:pt idx="6">
                  <c:v>43743</c:v>
                </c:pt>
                <c:pt idx="7">
                  <c:v>43744</c:v>
                </c:pt>
                <c:pt idx="8">
                  <c:v>43745</c:v>
                </c:pt>
                <c:pt idx="9">
                  <c:v>43746</c:v>
                </c:pt>
                <c:pt idx="10">
                  <c:v>43747</c:v>
                </c:pt>
                <c:pt idx="11">
                  <c:v>43748</c:v>
                </c:pt>
                <c:pt idx="12">
                  <c:v>43749</c:v>
                </c:pt>
                <c:pt idx="13">
                  <c:v>43750</c:v>
                </c:pt>
                <c:pt idx="14">
                  <c:v>43751</c:v>
                </c:pt>
                <c:pt idx="15">
                  <c:v>43752</c:v>
                </c:pt>
                <c:pt idx="16">
                  <c:v>43753</c:v>
                </c:pt>
                <c:pt idx="17">
                  <c:v>43754</c:v>
                </c:pt>
                <c:pt idx="18">
                  <c:v>43755</c:v>
                </c:pt>
                <c:pt idx="19">
                  <c:v>43756</c:v>
                </c:pt>
                <c:pt idx="20">
                  <c:v>43757</c:v>
                </c:pt>
                <c:pt idx="21">
                  <c:v>43758</c:v>
                </c:pt>
                <c:pt idx="22">
                  <c:v>43759</c:v>
                </c:pt>
                <c:pt idx="23">
                  <c:v>43760</c:v>
                </c:pt>
                <c:pt idx="24">
                  <c:v>43761</c:v>
                </c:pt>
                <c:pt idx="25">
                  <c:v>43762</c:v>
                </c:pt>
                <c:pt idx="26">
                  <c:v>43763</c:v>
                </c:pt>
                <c:pt idx="27">
                  <c:v>43764</c:v>
                </c:pt>
                <c:pt idx="28">
                  <c:v>43765</c:v>
                </c:pt>
                <c:pt idx="29">
                  <c:v>43766</c:v>
                </c:pt>
                <c:pt idx="30">
                  <c:v>43767</c:v>
                </c:pt>
                <c:pt idx="31">
                  <c:v>43768</c:v>
                </c:pt>
                <c:pt idx="32">
                  <c:v>43769</c:v>
                </c:pt>
                <c:pt idx="33">
                  <c:v>43770</c:v>
                </c:pt>
                <c:pt idx="34">
                  <c:v>43771</c:v>
                </c:pt>
                <c:pt idx="35">
                  <c:v>43772</c:v>
                </c:pt>
                <c:pt idx="36">
                  <c:v>43773</c:v>
                </c:pt>
                <c:pt idx="37">
                  <c:v>43774</c:v>
                </c:pt>
                <c:pt idx="38">
                  <c:v>43775</c:v>
                </c:pt>
                <c:pt idx="39">
                  <c:v>43776</c:v>
                </c:pt>
                <c:pt idx="40">
                  <c:v>43777</c:v>
                </c:pt>
                <c:pt idx="41">
                  <c:v>43778</c:v>
                </c:pt>
                <c:pt idx="42">
                  <c:v>43779</c:v>
                </c:pt>
                <c:pt idx="43">
                  <c:v>43780</c:v>
                </c:pt>
                <c:pt idx="44">
                  <c:v>43781</c:v>
                </c:pt>
                <c:pt idx="45">
                  <c:v>43782</c:v>
                </c:pt>
                <c:pt idx="46">
                  <c:v>43783</c:v>
                </c:pt>
                <c:pt idx="47">
                  <c:v>43784</c:v>
                </c:pt>
                <c:pt idx="48">
                  <c:v>43785</c:v>
                </c:pt>
                <c:pt idx="49">
                  <c:v>43786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43792</c:v>
                </c:pt>
                <c:pt idx="56">
                  <c:v>43793</c:v>
                </c:pt>
                <c:pt idx="57">
                  <c:v>43794</c:v>
                </c:pt>
                <c:pt idx="58">
                  <c:v>43795</c:v>
                </c:pt>
                <c:pt idx="59">
                  <c:v>43796</c:v>
                </c:pt>
                <c:pt idx="60">
                  <c:v>43797</c:v>
                </c:pt>
                <c:pt idx="61">
                  <c:v>43798</c:v>
                </c:pt>
                <c:pt idx="62">
                  <c:v>43799</c:v>
                </c:pt>
                <c:pt idx="63">
                  <c:v>43800</c:v>
                </c:pt>
                <c:pt idx="64">
                  <c:v>43801</c:v>
                </c:pt>
                <c:pt idx="65">
                  <c:v>43802</c:v>
                </c:pt>
                <c:pt idx="66">
                  <c:v>43803</c:v>
                </c:pt>
                <c:pt idx="67">
                  <c:v>43804</c:v>
                </c:pt>
                <c:pt idx="68">
                  <c:v>43805</c:v>
                </c:pt>
                <c:pt idx="69">
                  <c:v>43806</c:v>
                </c:pt>
                <c:pt idx="70">
                  <c:v>43807</c:v>
                </c:pt>
                <c:pt idx="71">
                  <c:v>43808</c:v>
                </c:pt>
                <c:pt idx="72">
                  <c:v>43809</c:v>
                </c:pt>
                <c:pt idx="73">
                  <c:v>43810</c:v>
                </c:pt>
                <c:pt idx="74">
                  <c:v>43811</c:v>
                </c:pt>
                <c:pt idx="75">
                  <c:v>43812</c:v>
                </c:pt>
                <c:pt idx="76">
                  <c:v>43813</c:v>
                </c:pt>
                <c:pt idx="77">
                  <c:v>43814</c:v>
                </c:pt>
                <c:pt idx="78">
                  <c:v>43815</c:v>
                </c:pt>
                <c:pt idx="79">
                  <c:v>43816</c:v>
                </c:pt>
                <c:pt idx="80">
                  <c:v>43817</c:v>
                </c:pt>
                <c:pt idx="81">
                  <c:v>43818</c:v>
                </c:pt>
                <c:pt idx="82">
                  <c:v>43819</c:v>
                </c:pt>
                <c:pt idx="83">
                  <c:v>43820</c:v>
                </c:pt>
                <c:pt idx="84">
                  <c:v>43821</c:v>
                </c:pt>
                <c:pt idx="85">
                  <c:v>43822</c:v>
                </c:pt>
                <c:pt idx="86">
                  <c:v>43823</c:v>
                </c:pt>
                <c:pt idx="87">
                  <c:v>43824</c:v>
                </c:pt>
                <c:pt idx="88">
                  <c:v>43825</c:v>
                </c:pt>
                <c:pt idx="89">
                  <c:v>43826</c:v>
                </c:pt>
                <c:pt idx="90">
                  <c:v>43827</c:v>
                </c:pt>
                <c:pt idx="91">
                  <c:v>43828</c:v>
                </c:pt>
                <c:pt idx="92">
                  <c:v>43829</c:v>
                </c:pt>
                <c:pt idx="93">
                  <c:v>43830</c:v>
                </c:pt>
                <c:pt idx="94">
                  <c:v>43831</c:v>
                </c:pt>
                <c:pt idx="95">
                  <c:v>43832</c:v>
                </c:pt>
                <c:pt idx="96">
                  <c:v>43833</c:v>
                </c:pt>
                <c:pt idx="97">
                  <c:v>43834</c:v>
                </c:pt>
                <c:pt idx="98">
                  <c:v>43835</c:v>
                </c:pt>
                <c:pt idx="99">
                  <c:v>43836</c:v>
                </c:pt>
                <c:pt idx="100">
                  <c:v>43837</c:v>
                </c:pt>
                <c:pt idx="101">
                  <c:v>43838</c:v>
                </c:pt>
                <c:pt idx="102">
                  <c:v>43839</c:v>
                </c:pt>
                <c:pt idx="103">
                  <c:v>43840</c:v>
                </c:pt>
                <c:pt idx="104">
                  <c:v>43841</c:v>
                </c:pt>
                <c:pt idx="105">
                  <c:v>43842</c:v>
                </c:pt>
                <c:pt idx="106">
                  <c:v>43843</c:v>
                </c:pt>
                <c:pt idx="107">
                  <c:v>43844</c:v>
                </c:pt>
                <c:pt idx="108">
                  <c:v>43845</c:v>
                </c:pt>
                <c:pt idx="109">
                  <c:v>43846</c:v>
                </c:pt>
                <c:pt idx="110">
                  <c:v>43847</c:v>
                </c:pt>
                <c:pt idx="111">
                  <c:v>43848</c:v>
                </c:pt>
                <c:pt idx="112">
                  <c:v>43849</c:v>
                </c:pt>
                <c:pt idx="113">
                  <c:v>43850</c:v>
                </c:pt>
                <c:pt idx="114">
                  <c:v>43851</c:v>
                </c:pt>
                <c:pt idx="115">
                  <c:v>43852</c:v>
                </c:pt>
                <c:pt idx="116">
                  <c:v>43853</c:v>
                </c:pt>
                <c:pt idx="117">
                  <c:v>43854</c:v>
                </c:pt>
                <c:pt idx="118">
                  <c:v>43855</c:v>
                </c:pt>
                <c:pt idx="119">
                  <c:v>43856</c:v>
                </c:pt>
                <c:pt idx="120">
                  <c:v>43857</c:v>
                </c:pt>
                <c:pt idx="121">
                  <c:v>43858</c:v>
                </c:pt>
                <c:pt idx="122">
                  <c:v>43859</c:v>
                </c:pt>
                <c:pt idx="123">
                  <c:v>43860</c:v>
                </c:pt>
                <c:pt idx="124">
                  <c:v>43861</c:v>
                </c:pt>
                <c:pt idx="125">
                  <c:v>43862</c:v>
                </c:pt>
                <c:pt idx="126">
                  <c:v>43863</c:v>
                </c:pt>
                <c:pt idx="127">
                  <c:v>43864</c:v>
                </c:pt>
                <c:pt idx="128">
                  <c:v>43865</c:v>
                </c:pt>
                <c:pt idx="129">
                  <c:v>43866</c:v>
                </c:pt>
                <c:pt idx="130">
                  <c:v>43867</c:v>
                </c:pt>
                <c:pt idx="131">
                  <c:v>43868</c:v>
                </c:pt>
                <c:pt idx="132">
                  <c:v>43869</c:v>
                </c:pt>
                <c:pt idx="133">
                  <c:v>43870</c:v>
                </c:pt>
                <c:pt idx="134">
                  <c:v>43871</c:v>
                </c:pt>
                <c:pt idx="135">
                  <c:v>43872</c:v>
                </c:pt>
                <c:pt idx="136">
                  <c:v>43873</c:v>
                </c:pt>
                <c:pt idx="137">
                  <c:v>43874</c:v>
                </c:pt>
                <c:pt idx="138">
                  <c:v>43875</c:v>
                </c:pt>
                <c:pt idx="139">
                  <c:v>43876</c:v>
                </c:pt>
                <c:pt idx="140">
                  <c:v>43877</c:v>
                </c:pt>
                <c:pt idx="141">
                  <c:v>43878</c:v>
                </c:pt>
                <c:pt idx="142">
                  <c:v>43879</c:v>
                </c:pt>
                <c:pt idx="143">
                  <c:v>43880</c:v>
                </c:pt>
                <c:pt idx="144">
                  <c:v>43881</c:v>
                </c:pt>
                <c:pt idx="145">
                  <c:v>43882</c:v>
                </c:pt>
                <c:pt idx="146">
                  <c:v>43883</c:v>
                </c:pt>
                <c:pt idx="147">
                  <c:v>43884</c:v>
                </c:pt>
                <c:pt idx="148">
                  <c:v>43885</c:v>
                </c:pt>
                <c:pt idx="149">
                  <c:v>43886</c:v>
                </c:pt>
                <c:pt idx="150">
                  <c:v>43887</c:v>
                </c:pt>
                <c:pt idx="151">
                  <c:v>43888</c:v>
                </c:pt>
                <c:pt idx="152">
                  <c:v>43889</c:v>
                </c:pt>
                <c:pt idx="153">
                  <c:v>43890</c:v>
                </c:pt>
                <c:pt idx="154">
                  <c:v>43891</c:v>
                </c:pt>
                <c:pt idx="155">
                  <c:v>43892</c:v>
                </c:pt>
                <c:pt idx="156">
                  <c:v>43893</c:v>
                </c:pt>
                <c:pt idx="157">
                  <c:v>43894</c:v>
                </c:pt>
                <c:pt idx="158">
                  <c:v>43895</c:v>
                </c:pt>
                <c:pt idx="159">
                  <c:v>43896</c:v>
                </c:pt>
                <c:pt idx="160">
                  <c:v>43897</c:v>
                </c:pt>
                <c:pt idx="161">
                  <c:v>43898</c:v>
                </c:pt>
                <c:pt idx="162">
                  <c:v>43899</c:v>
                </c:pt>
                <c:pt idx="163">
                  <c:v>43900</c:v>
                </c:pt>
                <c:pt idx="164">
                  <c:v>43901</c:v>
                </c:pt>
                <c:pt idx="165">
                  <c:v>43902</c:v>
                </c:pt>
                <c:pt idx="166">
                  <c:v>43903</c:v>
                </c:pt>
                <c:pt idx="167">
                  <c:v>43904</c:v>
                </c:pt>
                <c:pt idx="168">
                  <c:v>43905</c:v>
                </c:pt>
                <c:pt idx="169">
                  <c:v>43906</c:v>
                </c:pt>
                <c:pt idx="170">
                  <c:v>43907</c:v>
                </c:pt>
                <c:pt idx="171">
                  <c:v>43908</c:v>
                </c:pt>
                <c:pt idx="172">
                  <c:v>43909</c:v>
                </c:pt>
                <c:pt idx="173">
                  <c:v>43910</c:v>
                </c:pt>
                <c:pt idx="174">
                  <c:v>43911</c:v>
                </c:pt>
                <c:pt idx="175">
                  <c:v>43912</c:v>
                </c:pt>
                <c:pt idx="176">
                  <c:v>43913</c:v>
                </c:pt>
                <c:pt idx="177">
                  <c:v>43914</c:v>
                </c:pt>
                <c:pt idx="178">
                  <c:v>43915</c:v>
                </c:pt>
                <c:pt idx="179">
                  <c:v>43916</c:v>
                </c:pt>
                <c:pt idx="180">
                  <c:v>43917</c:v>
                </c:pt>
                <c:pt idx="181">
                  <c:v>43918</c:v>
                </c:pt>
                <c:pt idx="182">
                  <c:v>43919</c:v>
                </c:pt>
                <c:pt idx="183">
                  <c:v>43920</c:v>
                </c:pt>
                <c:pt idx="184">
                  <c:v>43921</c:v>
                </c:pt>
                <c:pt idx="185">
                  <c:v>43922</c:v>
                </c:pt>
                <c:pt idx="186">
                  <c:v>43923</c:v>
                </c:pt>
                <c:pt idx="187">
                  <c:v>43924</c:v>
                </c:pt>
                <c:pt idx="188">
                  <c:v>43925</c:v>
                </c:pt>
                <c:pt idx="189">
                  <c:v>43926</c:v>
                </c:pt>
                <c:pt idx="190">
                  <c:v>43927</c:v>
                </c:pt>
                <c:pt idx="191">
                  <c:v>43928</c:v>
                </c:pt>
                <c:pt idx="192">
                  <c:v>43929</c:v>
                </c:pt>
                <c:pt idx="193">
                  <c:v>43930</c:v>
                </c:pt>
                <c:pt idx="194">
                  <c:v>43931</c:v>
                </c:pt>
                <c:pt idx="195">
                  <c:v>43932</c:v>
                </c:pt>
                <c:pt idx="196">
                  <c:v>43933</c:v>
                </c:pt>
                <c:pt idx="197">
                  <c:v>43934</c:v>
                </c:pt>
                <c:pt idx="198">
                  <c:v>43935</c:v>
                </c:pt>
                <c:pt idx="199">
                  <c:v>43936</c:v>
                </c:pt>
                <c:pt idx="200">
                  <c:v>43937</c:v>
                </c:pt>
                <c:pt idx="201">
                  <c:v>43938</c:v>
                </c:pt>
                <c:pt idx="202">
                  <c:v>43939</c:v>
                </c:pt>
                <c:pt idx="203">
                  <c:v>43940</c:v>
                </c:pt>
                <c:pt idx="204">
                  <c:v>43941</c:v>
                </c:pt>
                <c:pt idx="205">
                  <c:v>43942</c:v>
                </c:pt>
                <c:pt idx="206">
                  <c:v>43943</c:v>
                </c:pt>
                <c:pt idx="207">
                  <c:v>43944</c:v>
                </c:pt>
                <c:pt idx="208">
                  <c:v>43945</c:v>
                </c:pt>
                <c:pt idx="209">
                  <c:v>43946</c:v>
                </c:pt>
                <c:pt idx="210">
                  <c:v>43947</c:v>
                </c:pt>
                <c:pt idx="211">
                  <c:v>43948</c:v>
                </c:pt>
                <c:pt idx="212">
                  <c:v>43949</c:v>
                </c:pt>
                <c:pt idx="213">
                  <c:v>43950</c:v>
                </c:pt>
                <c:pt idx="214">
                  <c:v>43951</c:v>
                </c:pt>
                <c:pt idx="215">
                  <c:v>43952</c:v>
                </c:pt>
                <c:pt idx="216">
                  <c:v>43953</c:v>
                </c:pt>
                <c:pt idx="217">
                  <c:v>43954</c:v>
                </c:pt>
                <c:pt idx="218">
                  <c:v>43955</c:v>
                </c:pt>
                <c:pt idx="219">
                  <c:v>43956</c:v>
                </c:pt>
                <c:pt idx="220">
                  <c:v>43957</c:v>
                </c:pt>
                <c:pt idx="221">
                  <c:v>43958</c:v>
                </c:pt>
                <c:pt idx="222">
                  <c:v>43959</c:v>
                </c:pt>
                <c:pt idx="223">
                  <c:v>43960</c:v>
                </c:pt>
                <c:pt idx="224">
                  <c:v>43961</c:v>
                </c:pt>
                <c:pt idx="225">
                  <c:v>43962</c:v>
                </c:pt>
                <c:pt idx="226">
                  <c:v>43963</c:v>
                </c:pt>
                <c:pt idx="227">
                  <c:v>43964</c:v>
                </c:pt>
                <c:pt idx="228">
                  <c:v>43965</c:v>
                </c:pt>
                <c:pt idx="229">
                  <c:v>43966</c:v>
                </c:pt>
                <c:pt idx="230">
                  <c:v>43967</c:v>
                </c:pt>
                <c:pt idx="231">
                  <c:v>43968</c:v>
                </c:pt>
                <c:pt idx="232">
                  <c:v>43969</c:v>
                </c:pt>
                <c:pt idx="233">
                  <c:v>43970</c:v>
                </c:pt>
                <c:pt idx="234">
                  <c:v>43971</c:v>
                </c:pt>
                <c:pt idx="235">
                  <c:v>43972</c:v>
                </c:pt>
                <c:pt idx="236">
                  <c:v>43973</c:v>
                </c:pt>
                <c:pt idx="237">
                  <c:v>43974</c:v>
                </c:pt>
                <c:pt idx="238">
                  <c:v>43975</c:v>
                </c:pt>
                <c:pt idx="239">
                  <c:v>43976</c:v>
                </c:pt>
                <c:pt idx="240">
                  <c:v>43977</c:v>
                </c:pt>
                <c:pt idx="241">
                  <c:v>43978</c:v>
                </c:pt>
                <c:pt idx="242">
                  <c:v>43979</c:v>
                </c:pt>
                <c:pt idx="243">
                  <c:v>43980</c:v>
                </c:pt>
                <c:pt idx="244">
                  <c:v>43981</c:v>
                </c:pt>
                <c:pt idx="245">
                  <c:v>43982</c:v>
                </c:pt>
                <c:pt idx="246">
                  <c:v>43983</c:v>
                </c:pt>
                <c:pt idx="247">
                  <c:v>43984</c:v>
                </c:pt>
                <c:pt idx="248">
                  <c:v>43985</c:v>
                </c:pt>
                <c:pt idx="249">
                  <c:v>43986</c:v>
                </c:pt>
                <c:pt idx="250">
                  <c:v>43987</c:v>
                </c:pt>
                <c:pt idx="251">
                  <c:v>43988</c:v>
                </c:pt>
                <c:pt idx="252">
                  <c:v>43989</c:v>
                </c:pt>
                <c:pt idx="253">
                  <c:v>43990</c:v>
                </c:pt>
                <c:pt idx="254">
                  <c:v>43991</c:v>
                </c:pt>
              </c:numCache>
            </c:numRef>
          </c:xVal>
          <c:yVal>
            <c:numRef>
              <c:f>kozik!$E$5:$E$259</c:f>
              <c:numCache>
                <c:formatCode>#,##0.00</c:formatCode>
                <c:ptCount val="255"/>
                <c:pt idx="1">
                  <c:v>0.18733333333333371</c:v>
                </c:pt>
                <c:pt idx="2">
                  <c:v>0.45733333333333331</c:v>
                </c:pt>
                <c:pt idx="3">
                  <c:v>1.0773333333333335</c:v>
                </c:pt>
                <c:pt idx="4">
                  <c:v>2.5439999999999996</c:v>
                </c:pt>
                <c:pt idx="5">
                  <c:v>2.5439999999999996</c:v>
                </c:pt>
                <c:pt idx="6">
                  <c:v>2.0773333333333337</c:v>
                </c:pt>
                <c:pt idx="7">
                  <c:v>2.277333333333333</c:v>
                </c:pt>
                <c:pt idx="8">
                  <c:v>2.777333333333333</c:v>
                </c:pt>
                <c:pt idx="9">
                  <c:v>3.3773333333333331</c:v>
                </c:pt>
                <c:pt idx="10">
                  <c:v>2.5106666666666659</c:v>
                </c:pt>
                <c:pt idx="11">
                  <c:v>1.1106666666666665</c:v>
                </c:pt>
                <c:pt idx="12">
                  <c:v>1.6106666666666665</c:v>
                </c:pt>
                <c:pt idx="13">
                  <c:v>1.410666666666667</c:v>
                </c:pt>
                <c:pt idx="14">
                  <c:v>4.3999999999999893E-2</c:v>
                </c:pt>
                <c:pt idx="15">
                  <c:v>0</c:v>
                </c:pt>
                <c:pt idx="16">
                  <c:v>0.47733333333333344</c:v>
                </c:pt>
                <c:pt idx="17">
                  <c:v>0.84399999999999942</c:v>
                </c:pt>
                <c:pt idx="18">
                  <c:v>1.0106666666666662</c:v>
                </c:pt>
                <c:pt idx="19">
                  <c:v>1.1773333333333327</c:v>
                </c:pt>
                <c:pt idx="20">
                  <c:v>0.51066666666666671</c:v>
                </c:pt>
                <c:pt idx="21">
                  <c:v>1.1773333333333327</c:v>
                </c:pt>
                <c:pt idx="22">
                  <c:v>1.4773333333333336</c:v>
                </c:pt>
                <c:pt idx="23">
                  <c:v>1.5439999999999998</c:v>
                </c:pt>
                <c:pt idx="24">
                  <c:v>1.4439999999999997</c:v>
                </c:pt>
                <c:pt idx="25">
                  <c:v>1.0773333333333335</c:v>
                </c:pt>
                <c:pt idx="26">
                  <c:v>1.7773333333333332</c:v>
                </c:pt>
                <c:pt idx="27">
                  <c:v>1.1440000000000003</c:v>
                </c:pt>
                <c:pt idx="28">
                  <c:v>0.9773333333333335</c:v>
                </c:pt>
                <c:pt idx="29">
                  <c:v>1.1440000000000003</c:v>
                </c:pt>
                <c:pt idx="30">
                  <c:v>2.8439999999999994</c:v>
                </c:pt>
                <c:pt idx="31">
                  <c:v>3.6773333333333325</c:v>
                </c:pt>
                <c:pt idx="32">
                  <c:v>4.2106666666666666</c:v>
                </c:pt>
                <c:pt idx="33">
                  <c:v>4.8106666666666662</c:v>
                </c:pt>
                <c:pt idx="34">
                  <c:v>4.1440000000000001</c:v>
                </c:pt>
                <c:pt idx="35">
                  <c:v>2.3773333333333331</c:v>
                </c:pt>
                <c:pt idx="36">
                  <c:v>2.3773333333333331</c:v>
                </c:pt>
                <c:pt idx="37">
                  <c:v>1.6773333333333327</c:v>
                </c:pt>
                <c:pt idx="38">
                  <c:v>2.4106666666666667</c:v>
                </c:pt>
                <c:pt idx="39">
                  <c:v>2.5773333333333337</c:v>
                </c:pt>
                <c:pt idx="40">
                  <c:v>2.444</c:v>
                </c:pt>
                <c:pt idx="41">
                  <c:v>3.0106666666666659</c:v>
                </c:pt>
                <c:pt idx="42">
                  <c:v>3.1106666666666665</c:v>
                </c:pt>
                <c:pt idx="43">
                  <c:v>4.8439999999999994</c:v>
                </c:pt>
                <c:pt idx="44">
                  <c:v>4.8106666666666662</c:v>
                </c:pt>
                <c:pt idx="45">
                  <c:v>4.0106666666666664</c:v>
                </c:pt>
                <c:pt idx="46">
                  <c:v>4.3439999999999994</c:v>
                </c:pt>
                <c:pt idx="47">
                  <c:v>4.3439999999999994</c:v>
                </c:pt>
                <c:pt idx="48">
                  <c:v>2.7440000000000002</c:v>
                </c:pt>
                <c:pt idx="49">
                  <c:v>2.4773333333333336</c:v>
                </c:pt>
                <c:pt idx="50">
                  <c:v>1.8439999999999992</c:v>
                </c:pt>
                <c:pt idx="51">
                  <c:v>2.5439999999999996</c:v>
                </c:pt>
                <c:pt idx="52">
                  <c:v>3.6440000000000001</c:v>
                </c:pt>
                <c:pt idx="53">
                  <c:v>3.1106666666666665</c:v>
                </c:pt>
                <c:pt idx="54">
                  <c:v>2.5439999999999996</c:v>
                </c:pt>
                <c:pt idx="55">
                  <c:v>2.4106666666666667</c:v>
                </c:pt>
                <c:pt idx="56">
                  <c:v>2.6440000000000001</c:v>
                </c:pt>
                <c:pt idx="57">
                  <c:v>2.944</c:v>
                </c:pt>
                <c:pt idx="58">
                  <c:v>3.3439999999999994</c:v>
                </c:pt>
                <c:pt idx="59">
                  <c:v>3.5773333333333337</c:v>
                </c:pt>
                <c:pt idx="60">
                  <c:v>3.444</c:v>
                </c:pt>
                <c:pt idx="61">
                  <c:v>2.4106666666666667</c:v>
                </c:pt>
                <c:pt idx="62">
                  <c:v>2.8439999999999994</c:v>
                </c:pt>
                <c:pt idx="63">
                  <c:v>4.5773333333333337</c:v>
                </c:pt>
                <c:pt idx="64">
                  <c:v>5.0773333333333337</c:v>
                </c:pt>
                <c:pt idx="65">
                  <c:v>4.444</c:v>
                </c:pt>
                <c:pt idx="66">
                  <c:v>4.610666666666666</c:v>
                </c:pt>
                <c:pt idx="67">
                  <c:v>4.5773333333333337</c:v>
                </c:pt>
                <c:pt idx="68">
                  <c:v>5.5773333333333337</c:v>
                </c:pt>
                <c:pt idx="69">
                  <c:v>5.110666666666666</c:v>
                </c:pt>
                <c:pt idx="70">
                  <c:v>3.0106666666666659</c:v>
                </c:pt>
                <c:pt idx="71">
                  <c:v>2.5106666666666659</c:v>
                </c:pt>
                <c:pt idx="72">
                  <c:v>2.6440000000000001</c:v>
                </c:pt>
                <c:pt idx="73">
                  <c:v>4.2106666666666666</c:v>
                </c:pt>
                <c:pt idx="74">
                  <c:v>5.5773333333333337</c:v>
                </c:pt>
                <c:pt idx="75">
                  <c:v>5.1440000000000001</c:v>
                </c:pt>
                <c:pt idx="76">
                  <c:v>5.110666666666666</c:v>
                </c:pt>
                <c:pt idx="77">
                  <c:v>3.5106666666666659</c:v>
                </c:pt>
                <c:pt idx="78">
                  <c:v>2.6773333333333325</c:v>
                </c:pt>
                <c:pt idx="79">
                  <c:v>3.1773333333333325</c:v>
                </c:pt>
                <c:pt idx="80">
                  <c:v>4.777333333333333</c:v>
                </c:pt>
                <c:pt idx="81">
                  <c:v>4.4773333333333332</c:v>
                </c:pt>
                <c:pt idx="82">
                  <c:v>4.6773333333333333</c:v>
                </c:pt>
                <c:pt idx="83">
                  <c:v>3.5106666666666659</c:v>
                </c:pt>
                <c:pt idx="84">
                  <c:v>3.3773333333333331</c:v>
                </c:pt>
                <c:pt idx="85">
                  <c:v>4.2440000000000007</c:v>
                </c:pt>
                <c:pt idx="86">
                  <c:v>3.1773333333333325</c:v>
                </c:pt>
                <c:pt idx="87">
                  <c:v>3.5439999999999996</c:v>
                </c:pt>
                <c:pt idx="88">
                  <c:v>3.1773333333333325</c:v>
                </c:pt>
                <c:pt idx="89">
                  <c:v>3.9106666666666667</c:v>
                </c:pt>
                <c:pt idx="90">
                  <c:v>4.3106666666666662</c:v>
                </c:pt>
                <c:pt idx="91">
                  <c:v>5.0106666666666664</c:v>
                </c:pt>
                <c:pt idx="92">
                  <c:v>5.5106666666666664</c:v>
                </c:pt>
                <c:pt idx="93">
                  <c:v>5.1773333333333333</c:v>
                </c:pt>
                <c:pt idx="94">
                  <c:v>4.110666666666666</c:v>
                </c:pt>
                <c:pt idx="95">
                  <c:v>5.0106666666666664</c:v>
                </c:pt>
                <c:pt idx="96">
                  <c:v>6.944</c:v>
                </c:pt>
                <c:pt idx="97">
                  <c:v>5.0439999999999996</c:v>
                </c:pt>
                <c:pt idx="98">
                  <c:v>3.8106666666666671</c:v>
                </c:pt>
                <c:pt idx="99">
                  <c:v>4.8439999999999994</c:v>
                </c:pt>
                <c:pt idx="100">
                  <c:v>5.0106666666666664</c:v>
                </c:pt>
                <c:pt idx="101">
                  <c:v>5.1773333333333333</c:v>
                </c:pt>
                <c:pt idx="102">
                  <c:v>4.110666666666666</c:v>
                </c:pt>
                <c:pt idx="103">
                  <c:v>3.1773333333333325</c:v>
                </c:pt>
                <c:pt idx="104">
                  <c:v>2.6773333333333325</c:v>
                </c:pt>
                <c:pt idx="105">
                  <c:v>4.2106666666666666</c:v>
                </c:pt>
                <c:pt idx="106">
                  <c:v>4.8106666666666662</c:v>
                </c:pt>
                <c:pt idx="107">
                  <c:v>4.2440000000000007</c:v>
                </c:pt>
                <c:pt idx="108">
                  <c:v>4.7440000000000007</c:v>
                </c:pt>
                <c:pt idx="109">
                  <c:v>5.3439999999999994</c:v>
                </c:pt>
                <c:pt idx="110">
                  <c:v>5.2106666666666666</c:v>
                </c:pt>
                <c:pt idx="111">
                  <c:v>5.2106666666666666</c:v>
                </c:pt>
                <c:pt idx="112">
                  <c:v>4.8773333333333335</c:v>
                </c:pt>
                <c:pt idx="113">
                  <c:v>4.7440000000000007</c:v>
                </c:pt>
                <c:pt idx="114">
                  <c:v>4.8773333333333335</c:v>
                </c:pt>
                <c:pt idx="115">
                  <c:v>6.1440000000000001</c:v>
                </c:pt>
                <c:pt idx="116">
                  <c:v>5.5106666666666664</c:v>
                </c:pt>
                <c:pt idx="117">
                  <c:v>4.8106666666666662</c:v>
                </c:pt>
                <c:pt idx="118">
                  <c:v>5.9440000000000017</c:v>
                </c:pt>
                <c:pt idx="119">
                  <c:v>5.5106666666666664</c:v>
                </c:pt>
                <c:pt idx="120">
                  <c:v>5.444</c:v>
                </c:pt>
                <c:pt idx="121">
                  <c:v>4.7440000000000007</c:v>
                </c:pt>
                <c:pt idx="122">
                  <c:v>3.8439999999999994</c:v>
                </c:pt>
                <c:pt idx="123">
                  <c:v>4.3773333333333335</c:v>
                </c:pt>
                <c:pt idx="124">
                  <c:v>3.8773333333333331</c:v>
                </c:pt>
                <c:pt idx="125">
                  <c:v>1.8106666666666669</c:v>
                </c:pt>
                <c:pt idx="126">
                  <c:v>1.3439999999999992</c:v>
                </c:pt>
                <c:pt idx="127">
                  <c:v>2.444</c:v>
                </c:pt>
                <c:pt idx="128">
                  <c:v>2.1106666666666665</c:v>
                </c:pt>
                <c:pt idx="129">
                  <c:v>3.9106666666666667</c:v>
                </c:pt>
                <c:pt idx="130">
                  <c:v>4.7106666666666666</c:v>
                </c:pt>
                <c:pt idx="131">
                  <c:v>4.777333333333333</c:v>
                </c:pt>
                <c:pt idx="132">
                  <c:v>4.0106666666666664</c:v>
                </c:pt>
                <c:pt idx="133">
                  <c:v>4.6440000000000001</c:v>
                </c:pt>
                <c:pt idx="134">
                  <c:v>3.7440000000000002</c:v>
                </c:pt>
                <c:pt idx="135">
                  <c:v>2.4106666666666667</c:v>
                </c:pt>
                <c:pt idx="136">
                  <c:v>3.8439999999999994</c:v>
                </c:pt>
                <c:pt idx="137">
                  <c:v>4.4773333333333332</c:v>
                </c:pt>
                <c:pt idx="138">
                  <c:v>4.2106666666666666</c:v>
                </c:pt>
                <c:pt idx="139">
                  <c:v>3.4106666666666667</c:v>
                </c:pt>
                <c:pt idx="140">
                  <c:v>3.6773333333333325</c:v>
                </c:pt>
                <c:pt idx="141">
                  <c:v>3.0106666666666659</c:v>
                </c:pt>
                <c:pt idx="142">
                  <c:v>2.0439999999999996</c:v>
                </c:pt>
                <c:pt idx="143">
                  <c:v>2.9773333333333336</c:v>
                </c:pt>
                <c:pt idx="144">
                  <c:v>3.777333333333333</c:v>
                </c:pt>
                <c:pt idx="145">
                  <c:v>3.8439999999999994</c:v>
                </c:pt>
                <c:pt idx="146">
                  <c:v>3.6440000000000001</c:v>
                </c:pt>
                <c:pt idx="147">
                  <c:v>2.5773333333333337</c:v>
                </c:pt>
                <c:pt idx="148">
                  <c:v>1.8106666666666669</c:v>
                </c:pt>
                <c:pt idx="149">
                  <c:v>3.5773333333333337</c:v>
                </c:pt>
                <c:pt idx="150">
                  <c:v>2.3773333333333331</c:v>
                </c:pt>
                <c:pt idx="151">
                  <c:v>3.777333333333333</c:v>
                </c:pt>
                <c:pt idx="152">
                  <c:v>4.0773333333333337</c:v>
                </c:pt>
                <c:pt idx="153">
                  <c:v>4.4773333333333332</c:v>
                </c:pt>
                <c:pt idx="154">
                  <c:v>3.8773333333333331</c:v>
                </c:pt>
                <c:pt idx="155">
                  <c:v>2.6440000000000001</c:v>
                </c:pt>
                <c:pt idx="156">
                  <c:v>2.9773333333333336</c:v>
                </c:pt>
                <c:pt idx="157">
                  <c:v>3.6440000000000001</c:v>
                </c:pt>
                <c:pt idx="158">
                  <c:v>4.0773333333333337</c:v>
                </c:pt>
                <c:pt idx="159">
                  <c:v>3.6106666666666665</c:v>
                </c:pt>
                <c:pt idx="160">
                  <c:v>2.9773333333333336</c:v>
                </c:pt>
                <c:pt idx="161">
                  <c:v>3.8106666666666671</c:v>
                </c:pt>
                <c:pt idx="162">
                  <c:v>3.4773333333333336</c:v>
                </c:pt>
                <c:pt idx="163">
                  <c:v>3.277333333333333</c:v>
                </c:pt>
                <c:pt idx="164">
                  <c:v>3.5106666666666659</c:v>
                </c:pt>
                <c:pt idx="165">
                  <c:v>2.2106666666666666</c:v>
                </c:pt>
                <c:pt idx="166">
                  <c:v>1.3439999999999992</c:v>
                </c:pt>
                <c:pt idx="167">
                  <c:v>2.777333333333333</c:v>
                </c:pt>
                <c:pt idx="168">
                  <c:v>3.8773333333333331</c:v>
                </c:pt>
                <c:pt idx="169">
                  <c:v>4.0773333333333337</c:v>
                </c:pt>
                <c:pt idx="170">
                  <c:v>3.3439999999999994</c:v>
                </c:pt>
                <c:pt idx="171">
                  <c:v>2.6440000000000001</c:v>
                </c:pt>
                <c:pt idx="172">
                  <c:v>2.0439999999999996</c:v>
                </c:pt>
                <c:pt idx="173">
                  <c:v>2.0106666666666659</c:v>
                </c:pt>
                <c:pt idx="174">
                  <c:v>2.1106666666666665</c:v>
                </c:pt>
                <c:pt idx="175">
                  <c:v>4.3439999999999994</c:v>
                </c:pt>
                <c:pt idx="176">
                  <c:v>5.5440000000000005</c:v>
                </c:pt>
                <c:pt idx="177">
                  <c:v>5.4773333333333341</c:v>
                </c:pt>
                <c:pt idx="178">
                  <c:v>5.110666666666666</c:v>
                </c:pt>
                <c:pt idx="179">
                  <c:v>4.9106666666666676</c:v>
                </c:pt>
                <c:pt idx="180">
                  <c:v>4.2106666666666666</c:v>
                </c:pt>
                <c:pt idx="181">
                  <c:v>2.0773333333333337</c:v>
                </c:pt>
                <c:pt idx="182">
                  <c:v>2.277333333333333</c:v>
                </c:pt>
                <c:pt idx="183">
                  <c:v>3.3439999999999994</c:v>
                </c:pt>
                <c:pt idx="184">
                  <c:v>4.9773333333333332</c:v>
                </c:pt>
                <c:pt idx="185">
                  <c:v>4.9773333333333332</c:v>
                </c:pt>
                <c:pt idx="186">
                  <c:v>4.944</c:v>
                </c:pt>
                <c:pt idx="187">
                  <c:v>3.7106666666666666</c:v>
                </c:pt>
                <c:pt idx="188">
                  <c:v>3.5773333333333337</c:v>
                </c:pt>
                <c:pt idx="189">
                  <c:v>2.5439999999999996</c:v>
                </c:pt>
                <c:pt idx="190">
                  <c:v>2.277333333333333</c:v>
                </c:pt>
                <c:pt idx="191">
                  <c:v>1.1773333333333327</c:v>
                </c:pt>
                <c:pt idx="192">
                  <c:v>0.94399999999999962</c:v>
                </c:pt>
                <c:pt idx="193">
                  <c:v>0.91066666666666707</c:v>
                </c:pt>
                <c:pt idx="194">
                  <c:v>0.84399999999999942</c:v>
                </c:pt>
                <c:pt idx="195">
                  <c:v>1.3773333333333331</c:v>
                </c:pt>
                <c:pt idx="196">
                  <c:v>1.8106666666666669</c:v>
                </c:pt>
                <c:pt idx="197">
                  <c:v>0.91066666666666707</c:v>
                </c:pt>
                <c:pt idx="198">
                  <c:v>1.9773333333333336</c:v>
                </c:pt>
                <c:pt idx="199">
                  <c:v>3.8106666666666671</c:v>
                </c:pt>
                <c:pt idx="200">
                  <c:v>2.8439999999999994</c:v>
                </c:pt>
                <c:pt idx="201">
                  <c:v>1.1440000000000003</c:v>
                </c:pt>
                <c:pt idx="202">
                  <c:v>0.74400000000000033</c:v>
                </c:pt>
                <c:pt idx="203">
                  <c:v>0.81066666666666676</c:v>
                </c:pt>
                <c:pt idx="204">
                  <c:v>1.5106666666666659</c:v>
                </c:pt>
                <c:pt idx="205">
                  <c:v>2.3439999999999994</c:v>
                </c:pt>
                <c:pt idx="206">
                  <c:v>1.8106666666666669</c:v>
                </c:pt>
                <c:pt idx="207">
                  <c:v>1.6440000000000003</c:v>
                </c:pt>
                <c:pt idx="208">
                  <c:v>1.1773333333333327</c:v>
                </c:pt>
                <c:pt idx="209">
                  <c:v>0.44399999999999967</c:v>
                </c:pt>
                <c:pt idx="210">
                  <c:v>1.8773333333333331</c:v>
                </c:pt>
                <c:pt idx="211">
                  <c:v>2.0773333333333337</c:v>
                </c:pt>
                <c:pt idx="212">
                  <c:v>0.71066666666666656</c:v>
                </c:pt>
                <c:pt idx="213">
                  <c:v>0</c:v>
                </c:pt>
                <c:pt idx="214">
                  <c:v>0.41066666666666646</c:v>
                </c:pt>
                <c:pt idx="215">
                  <c:v>0.5773333333333337</c:v>
                </c:pt>
                <c:pt idx="216">
                  <c:v>0.9773333333333335</c:v>
                </c:pt>
                <c:pt idx="217">
                  <c:v>1.8106666666666669</c:v>
                </c:pt>
                <c:pt idx="218">
                  <c:v>1.8106666666666669</c:v>
                </c:pt>
                <c:pt idx="219">
                  <c:v>1.2773333333333332</c:v>
                </c:pt>
                <c:pt idx="220">
                  <c:v>2.5439999999999996</c:v>
                </c:pt>
                <c:pt idx="221">
                  <c:v>2.3439999999999994</c:v>
                </c:pt>
                <c:pt idx="222">
                  <c:v>1.3773333333333331</c:v>
                </c:pt>
                <c:pt idx="223">
                  <c:v>0.44399999999999967</c:v>
                </c:pt>
                <c:pt idx="224">
                  <c:v>0</c:v>
                </c:pt>
                <c:pt idx="225">
                  <c:v>0</c:v>
                </c:pt>
                <c:pt idx="226">
                  <c:v>1.8439999999999992</c:v>
                </c:pt>
                <c:pt idx="227">
                  <c:v>3.1440000000000001</c:v>
                </c:pt>
                <c:pt idx="228">
                  <c:v>2.444</c:v>
                </c:pt>
                <c:pt idx="229">
                  <c:v>1.7440000000000002</c:v>
                </c:pt>
                <c:pt idx="230">
                  <c:v>1.7773333333333332</c:v>
                </c:pt>
                <c:pt idx="231">
                  <c:v>1.4773333333333336</c:v>
                </c:pt>
                <c:pt idx="232">
                  <c:v>0.67733333333333279</c:v>
                </c:pt>
                <c:pt idx="233">
                  <c:v>0.21066666666666656</c:v>
                </c:pt>
                <c:pt idx="234">
                  <c:v>0</c:v>
                </c:pt>
                <c:pt idx="235">
                  <c:v>0.41066666666666646</c:v>
                </c:pt>
                <c:pt idx="236">
                  <c:v>0.41066666666666646</c:v>
                </c:pt>
                <c:pt idx="237">
                  <c:v>0.47733333333333344</c:v>
                </c:pt>
                <c:pt idx="238">
                  <c:v>0.5773333333333337</c:v>
                </c:pt>
                <c:pt idx="239">
                  <c:v>1.2773333333333332</c:v>
                </c:pt>
                <c:pt idx="240">
                  <c:v>1.4439999999999997</c:v>
                </c:pt>
                <c:pt idx="241">
                  <c:v>0.9773333333333335</c:v>
                </c:pt>
                <c:pt idx="242">
                  <c:v>0.61066666666666636</c:v>
                </c:pt>
                <c:pt idx="243">
                  <c:v>1.0773333333333335</c:v>
                </c:pt>
                <c:pt idx="244">
                  <c:v>0.71066666666666656</c:v>
                </c:pt>
                <c:pt idx="245">
                  <c:v>0.84399999999999942</c:v>
                </c:pt>
                <c:pt idx="246">
                  <c:v>1.1773333333333327</c:v>
                </c:pt>
                <c:pt idx="247">
                  <c:v>0</c:v>
                </c:pt>
                <c:pt idx="248">
                  <c:v>0.14400000000000013</c:v>
                </c:pt>
                <c:pt idx="249">
                  <c:v>0</c:v>
                </c:pt>
                <c:pt idx="250">
                  <c:v>0</c:v>
                </c:pt>
                <c:pt idx="251">
                  <c:v>0.37733333333333324</c:v>
                </c:pt>
                <c:pt idx="252">
                  <c:v>0.54399999999999993</c:v>
                </c:pt>
                <c:pt idx="253">
                  <c:v>0.34400000000000003</c:v>
                </c:pt>
                <c:pt idx="254">
                  <c:v>0.54399999999999993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615-4D23-A017-492E7DA08A47}"/>
            </c:ext>
          </c:extLst>
        </c:ser>
        <c:ser>
          <c:idx val="1"/>
          <c:order val="1"/>
          <c:tx>
            <c:strRef>
              <c:f>kozik!$F$4</c:f>
              <c:strCache>
                <c:ptCount val="1"/>
                <c:pt idx="0">
                  <c:v>plyn {kW]</c:v>
                </c:pt>
              </c:strCache>
            </c:strRef>
          </c:tx>
          <c:marker>
            <c:symbol val="none"/>
          </c:marker>
          <c:xVal>
            <c:numRef>
              <c:f>kozik!$B$5:$B$259</c:f>
              <c:numCache>
                <c:formatCode>dd/mm/yyyy</c:formatCode>
                <c:ptCount val="255"/>
                <c:pt idx="0">
                  <c:v>43709</c:v>
                </c:pt>
                <c:pt idx="1">
                  <c:v>43728</c:v>
                </c:pt>
                <c:pt idx="2">
                  <c:v>43739</c:v>
                </c:pt>
                <c:pt idx="3">
                  <c:v>43740</c:v>
                </c:pt>
                <c:pt idx="4">
                  <c:v>43741</c:v>
                </c:pt>
                <c:pt idx="5">
                  <c:v>43742</c:v>
                </c:pt>
                <c:pt idx="6">
                  <c:v>43743</c:v>
                </c:pt>
                <c:pt idx="7">
                  <c:v>43744</c:v>
                </c:pt>
                <c:pt idx="8">
                  <c:v>43745</c:v>
                </c:pt>
                <c:pt idx="9">
                  <c:v>43746</c:v>
                </c:pt>
                <c:pt idx="10">
                  <c:v>43747</c:v>
                </c:pt>
                <c:pt idx="11">
                  <c:v>43748</c:v>
                </c:pt>
                <c:pt idx="12">
                  <c:v>43749</c:v>
                </c:pt>
                <c:pt idx="13">
                  <c:v>43750</c:v>
                </c:pt>
                <c:pt idx="14">
                  <c:v>43751</c:v>
                </c:pt>
                <c:pt idx="15">
                  <c:v>43752</c:v>
                </c:pt>
                <c:pt idx="16">
                  <c:v>43753</c:v>
                </c:pt>
                <c:pt idx="17">
                  <c:v>43754</c:v>
                </c:pt>
                <c:pt idx="18">
                  <c:v>43755</c:v>
                </c:pt>
                <c:pt idx="19">
                  <c:v>43756</c:v>
                </c:pt>
                <c:pt idx="20">
                  <c:v>43757</c:v>
                </c:pt>
                <c:pt idx="21">
                  <c:v>43758</c:v>
                </c:pt>
                <c:pt idx="22">
                  <c:v>43759</c:v>
                </c:pt>
                <c:pt idx="23">
                  <c:v>43760</c:v>
                </c:pt>
                <c:pt idx="24">
                  <c:v>43761</c:v>
                </c:pt>
                <c:pt idx="25">
                  <c:v>43762</c:v>
                </c:pt>
                <c:pt idx="26">
                  <c:v>43763</c:v>
                </c:pt>
                <c:pt idx="27">
                  <c:v>43764</c:v>
                </c:pt>
                <c:pt idx="28">
                  <c:v>43765</c:v>
                </c:pt>
                <c:pt idx="29">
                  <c:v>43766</c:v>
                </c:pt>
                <c:pt idx="30">
                  <c:v>43767</c:v>
                </c:pt>
                <c:pt idx="31">
                  <c:v>43768</c:v>
                </c:pt>
                <c:pt idx="32">
                  <c:v>43769</c:v>
                </c:pt>
                <c:pt idx="33">
                  <c:v>43770</c:v>
                </c:pt>
                <c:pt idx="34">
                  <c:v>43771</c:v>
                </c:pt>
                <c:pt idx="35">
                  <c:v>43772</c:v>
                </c:pt>
                <c:pt idx="36">
                  <c:v>43773</c:v>
                </c:pt>
                <c:pt idx="37">
                  <c:v>43774</c:v>
                </c:pt>
                <c:pt idx="38">
                  <c:v>43775</c:v>
                </c:pt>
                <c:pt idx="39">
                  <c:v>43776</c:v>
                </c:pt>
                <c:pt idx="40">
                  <c:v>43777</c:v>
                </c:pt>
                <c:pt idx="41">
                  <c:v>43778</c:v>
                </c:pt>
                <c:pt idx="42">
                  <c:v>43779</c:v>
                </c:pt>
                <c:pt idx="43">
                  <c:v>43780</c:v>
                </c:pt>
                <c:pt idx="44">
                  <c:v>43781</c:v>
                </c:pt>
                <c:pt idx="45">
                  <c:v>43782</c:v>
                </c:pt>
                <c:pt idx="46">
                  <c:v>43783</c:v>
                </c:pt>
                <c:pt idx="47">
                  <c:v>43784</c:v>
                </c:pt>
                <c:pt idx="48">
                  <c:v>43785</c:v>
                </c:pt>
                <c:pt idx="49">
                  <c:v>43786</c:v>
                </c:pt>
                <c:pt idx="50">
                  <c:v>43787</c:v>
                </c:pt>
                <c:pt idx="51">
                  <c:v>43788</c:v>
                </c:pt>
                <c:pt idx="52">
                  <c:v>43789</c:v>
                </c:pt>
                <c:pt idx="53">
                  <c:v>43790</c:v>
                </c:pt>
                <c:pt idx="54">
                  <c:v>43791</c:v>
                </c:pt>
                <c:pt idx="55">
                  <c:v>43792</c:v>
                </c:pt>
                <c:pt idx="56">
                  <c:v>43793</c:v>
                </c:pt>
                <c:pt idx="57">
                  <c:v>43794</c:v>
                </c:pt>
                <c:pt idx="58">
                  <c:v>43795</c:v>
                </c:pt>
                <c:pt idx="59">
                  <c:v>43796</c:v>
                </c:pt>
                <c:pt idx="60">
                  <c:v>43797</c:v>
                </c:pt>
                <c:pt idx="61">
                  <c:v>43798</c:v>
                </c:pt>
                <c:pt idx="62">
                  <c:v>43799</c:v>
                </c:pt>
                <c:pt idx="63">
                  <c:v>43800</c:v>
                </c:pt>
                <c:pt idx="64">
                  <c:v>43801</c:v>
                </c:pt>
                <c:pt idx="65">
                  <c:v>43802</c:v>
                </c:pt>
                <c:pt idx="66">
                  <c:v>43803</c:v>
                </c:pt>
                <c:pt idx="67">
                  <c:v>43804</c:v>
                </c:pt>
                <c:pt idx="68">
                  <c:v>43805</c:v>
                </c:pt>
                <c:pt idx="69">
                  <c:v>43806</c:v>
                </c:pt>
                <c:pt idx="70">
                  <c:v>43807</c:v>
                </c:pt>
                <c:pt idx="71">
                  <c:v>43808</c:v>
                </c:pt>
                <c:pt idx="72">
                  <c:v>43809</c:v>
                </c:pt>
                <c:pt idx="73">
                  <c:v>43810</c:v>
                </c:pt>
                <c:pt idx="74">
                  <c:v>43811</c:v>
                </c:pt>
                <c:pt idx="75">
                  <c:v>43812</c:v>
                </c:pt>
                <c:pt idx="76">
                  <c:v>43813</c:v>
                </c:pt>
                <c:pt idx="77">
                  <c:v>43814</c:v>
                </c:pt>
                <c:pt idx="78">
                  <c:v>43815</c:v>
                </c:pt>
                <c:pt idx="79">
                  <c:v>43816</c:v>
                </c:pt>
                <c:pt idx="80">
                  <c:v>43817</c:v>
                </c:pt>
                <c:pt idx="81">
                  <c:v>43818</c:v>
                </c:pt>
                <c:pt idx="82">
                  <c:v>43819</c:v>
                </c:pt>
                <c:pt idx="83">
                  <c:v>43820</c:v>
                </c:pt>
                <c:pt idx="84">
                  <c:v>43821</c:v>
                </c:pt>
                <c:pt idx="85">
                  <c:v>43822</c:v>
                </c:pt>
                <c:pt idx="86">
                  <c:v>43823</c:v>
                </c:pt>
                <c:pt idx="87">
                  <c:v>43824</c:v>
                </c:pt>
                <c:pt idx="88">
                  <c:v>43825</c:v>
                </c:pt>
                <c:pt idx="89">
                  <c:v>43826</c:v>
                </c:pt>
                <c:pt idx="90">
                  <c:v>43827</c:v>
                </c:pt>
                <c:pt idx="91">
                  <c:v>43828</c:v>
                </c:pt>
                <c:pt idx="92">
                  <c:v>43829</c:v>
                </c:pt>
                <c:pt idx="93">
                  <c:v>43830</c:v>
                </c:pt>
                <c:pt idx="94">
                  <c:v>43831</c:v>
                </c:pt>
                <c:pt idx="95">
                  <c:v>43832</c:v>
                </c:pt>
                <c:pt idx="96">
                  <c:v>43833</c:v>
                </c:pt>
                <c:pt idx="97">
                  <c:v>43834</c:v>
                </c:pt>
                <c:pt idx="98">
                  <c:v>43835</c:v>
                </c:pt>
                <c:pt idx="99">
                  <c:v>43836</c:v>
                </c:pt>
                <c:pt idx="100">
                  <c:v>43837</c:v>
                </c:pt>
                <c:pt idx="101">
                  <c:v>43838</c:v>
                </c:pt>
                <c:pt idx="102">
                  <c:v>43839</c:v>
                </c:pt>
                <c:pt idx="103">
                  <c:v>43840</c:v>
                </c:pt>
                <c:pt idx="104">
                  <c:v>43841</c:v>
                </c:pt>
                <c:pt idx="105">
                  <c:v>43842</c:v>
                </c:pt>
                <c:pt idx="106">
                  <c:v>43843</c:v>
                </c:pt>
                <c:pt idx="107">
                  <c:v>43844</c:v>
                </c:pt>
                <c:pt idx="108">
                  <c:v>43845</c:v>
                </c:pt>
                <c:pt idx="109">
                  <c:v>43846</c:v>
                </c:pt>
                <c:pt idx="110">
                  <c:v>43847</c:v>
                </c:pt>
                <c:pt idx="111">
                  <c:v>43848</c:v>
                </c:pt>
                <c:pt idx="112">
                  <c:v>43849</c:v>
                </c:pt>
                <c:pt idx="113">
                  <c:v>43850</c:v>
                </c:pt>
                <c:pt idx="114">
                  <c:v>43851</c:v>
                </c:pt>
                <c:pt idx="115">
                  <c:v>43852</c:v>
                </c:pt>
                <c:pt idx="116">
                  <c:v>43853</c:v>
                </c:pt>
                <c:pt idx="117">
                  <c:v>43854</c:v>
                </c:pt>
                <c:pt idx="118">
                  <c:v>43855</c:v>
                </c:pt>
                <c:pt idx="119">
                  <c:v>43856</c:v>
                </c:pt>
                <c:pt idx="120">
                  <c:v>43857</c:v>
                </c:pt>
                <c:pt idx="121">
                  <c:v>43858</c:v>
                </c:pt>
                <c:pt idx="122">
                  <c:v>43859</c:v>
                </c:pt>
                <c:pt idx="123">
                  <c:v>43860</c:v>
                </c:pt>
                <c:pt idx="124">
                  <c:v>43861</c:v>
                </c:pt>
                <c:pt idx="125">
                  <c:v>43862</c:v>
                </c:pt>
                <c:pt idx="126">
                  <c:v>43863</c:v>
                </c:pt>
                <c:pt idx="127">
                  <c:v>43864</c:v>
                </c:pt>
                <c:pt idx="128">
                  <c:v>43865</c:v>
                </c:pt>
                <c:pt idx="129">
                  <c:v>43866</c:v>
                </c:pt>
                <c:pt idx="130">
                  <c:v>43867</c:v>
                </c:pt>
                <c:pt idx="131">
                  <c:v>43868</c:v>
                </c:pt>
                <c:pt idx="132">
                  <c:v>43869</c:v>
                </c:pt>
                <c:pt idx="133">
                  <c:v>43870</c:v>
                </c:pt>
                <c:pt idx="134">
                  <c:v>43871</c:v>
                </c:pt>
                <c:pt idx="135">
                  <c:v>43872</c:v>
                </c:pt>
                <c:pt idx="136">
                  <c:v>43873</c:v>
                </c:pt>
                <c:pt idx="137">
                  <c:v>43874</c:v>
                </c:pt>
                <c:pt idx="138">
                  <c:v>43875</c:v>
                </c:pt>
                <c:pt idx="139">
                  <c:v>43876</c:v>
                </c:pt>
                <c:pt idx="140">
                  <c:v>43877</c:v>
                </c:pt>
                <c:pt idx="141">
                  <c:v>43878</c:v>
                </c:pt>
                <c:pt idx="142">
                  <c:v>43879</c:v>
                </c:pt>
                <c:pt idx="143">
                  <c:v>43880</c:v>
                </c:pt>
                <c:pt idx="144">
                  <c:v>43881</c:v>
                </c:pt>
                <c:pt idx="145">
                  <c:v>43882</c:v>
                </c:pt>
                <c:pt idx="146">
                  <c:v>43883</c:v>
                </c:pt>
                <c:pt idx="147">
                  <c:v>43884</c:v>
                </c:pt>
                <c:pt idx="148">
                  <c:v>43885</c:v>
                </c:pt>
                <c:pt idx="149">
                  <c:v>43886</c:v>
                </c:pt>
                <c:pt idx="150">
                  <c:v>43887</c:v>
                </c:pt>
                <c:pt idx="151">
                  <c:v>43888</c:v>
                </c:pt>
                <c:pt idx="152">
                  <c:v>43889</c:v>
                </c:pt>
                <c:pt idx="153">
                  <c:v>43890</c:v>
                </c:pt>
                <c:pt idx="154">
                  <c:v>43891</c:v>
                </c:pt>
                <c:pt idx="155">
                  <c:v>43892</c:v>
                </c:pt>
                <c:pt idx="156">
                  <c:v>43893</c:v>
                </c:pt>
                <c:pt idx="157">
                  <c:v>43894</c:v>
                </c:pt>
                <c:pt idx="158">
                  <c:v>43895</c:v>
                </c:pt>
                <c:pt idx="159">
                  <c:v>43896</c:v>
                </c:pt>
                <c:pt idx="160">
                  <c:v>43897</c:v>
                </c:pt>
                <c:pt idx="161">
                  <c:v>43898</c:v>
                </c:pt>
                <c:pt idx="162">
                  <c:v>43899</c:v>
                </c:pt>
                <c:pt idx="163">
                  <c:v>43900</c:v>
                </c:pt>
                <c:pt idx="164">
                  <c:v>43901</c:v>
                </c:pt>
                <c:pt idx="165">
                  <c:v>43902</c:v>
                </c:pt>
                <c:pt idx="166">
                  <c:v>43903</c:v>
                </c:pt>
                <c:pt idx="167">
                  <c:v>43904</c:v>
                </c:pt>
                <c:pt idx="168">
                  <c:v>43905</c:v>
                </c:pt>
                <c:pt idx="169">
                  <c:v>43906</c:v>
                </c:pt>
                <c:pt idx="170">
                  <c:v>43907</c:v>
                </c:pt>
                <c:pt idx="171">
                  <c:v>43908</c:v>
                </c:pt>
                <c:pt idx="172">
                  <c:v>43909</c:v>
                </c:pt>
                <c:pt idx="173">
                  <c:v>43910</c:v>
                </c:pt>
                <c:pt idx="174">
                  <c:v>43911</c:v>
                </c:pt>
                <c:pt idx="175">
                  <c:v>43912</c:v>
                </c:pt>
                <c:pt idx="176">
                  <c:v>43913</c:v>
                </c:pt>
                <c:pt idx="177">
                  <c:v>43914</c:v>
                </c:pt>
                <c:pt idx="178">
                  <c:v>43915</c:v>
                </c:pt>
                <c:pt idx="179">
                  <c:v>43916</c:v>
                </c:pt>
                <c:pt idx="180">
                  <c:v>43917</c:v>
                </c:pt>
                <c:pt idx="181">
                  <c:v>43918</c:v>
                </c:pt>
                <c:pt idx="182">
                  <c:v>43919</c:v>
                </c:pt>
                <c:pt idx="183">
                  <c:v>43920</c:v>
                </c:pt>
                <c:pt idx="184">
                  <c:v>43921</c:v>
                </c:pt>
                <c:pt idx="185">
                  <c:v>43922</c:v>
                </c:pt>
                <c:pt idx="186">
                  <c:v>43923</c:v>
                </c:pt>
                <c:pt idx="187">
                  <c:v>43924</c:v>
                </c:pt>
                <c:pt idx="188">
                  <c:v>43925</c:v>
                </c:pt>
                <c:pt idx="189">
                  <c:v>43926</c:v>
                </c:pt>
                <c:pt idx="190">
                  <c:v>43927</c:v>
                </c:pt>
                <c:pt idx="191">
                  <c:v>43928</c:v>
                </c:pt>
                <c:pt idx="192">
                  <c:v>43929</c:v>
                </c:pt>
                <c:pt idx="193">
                  <c:v>43930</c:v>
                </c:pt>
                <c:pt idx="194">
                  <c:v>43931</c:v>
                </c:pt>
                <c:pt idx="195">
                  <c:v>43932</c:v>
                </c:pt>
                <c:pt idx="196">
                  <c:v>43933</c:v>
                </c:pt>
                <c:pt idx="197">
                  <c:v>43934</c:v>
                </c:pt>
                <c:pt idx="198">
                  <c:v>43935</c:v>
                </c:pt>
                <c:pt idx="199">
                  <c:v>43936</c:v>
                </c:pt>
                <c:pt idx="200">
                  <c:v>43937</c:v>
                </c:pt>
                <c:pt idx="201">
                  <c:v>43938</c:v>
                </c:pt>
                <c:pt idx="202">
                  <c:v>43939</c:v>
                </c:pt>
                <c:pt idx="203">
                  <c:v>43940</c:v>
                </c:pt>
                <c:pt idx="204">
                  <c:v>43941</c:v>
                </c:pt>
                <c:pt idx="205">
                  <c:v>43942</c:v>
                </c:pt>
                <c:pt idx="206">
                  <c:v>43943</c:v>
                </c:pt>
                <c:pt idx="207">
                  <c:v>43944</c:v>
                </c:pt>
                <c:pt idx="208">
                  <c:v>43945</c:v>
                </c:pt>
                <c:pt idx="209">
                  <c:v>43946</c:v>
                </c:pt>
                <c:pt idx="210">
                  <c:v>43947</c:v>
                </c:pt>
                <c:pt idx="211">
                  <c:v>43948</c:v>
                </c:pt>
                <c:pt idx="212">
                  <c:v>43949</c:v>
                </c:pt>
                <c:pt idx="213">
                  <c:v>43950</c:v>
                </c:pt>
                <c:pt idx="214">
                  <c:v>43951</c:v>
                </c:pt>
                <c:pt idx="215">
                  <c:v>43952</c:v>
                </c:pt>
                <c:pt idx="216">
                  <c:v>43953</c:v>
                </c:pt>
                <c:pt idx="217">
                  <c:v>43954</c:v>
                </c:pt>
                <c:pt idx="218">
                  <c:v>43955</c:v>
                </c:pt>
                <c:pt idx="219">
                  <c:v>43956</c:v>
                </c:pt>
                <c:pt idx="220">
                  <c:v>43957</c:v>
                </c:pt>
                <c:pt idx="221">
                  <c:v>43958</c:v>
                </c:pt>
                <c:pt idx="222">
                  <c:v>43959</c:v>
                </c:pt>
                <c:pt idx="223">
                  <c:v>43960</c:v>
                </c:pt>
                <c:pt idx="224">
                  <c:v>43961</c:v>
                </c:pt>
                <c:pt idx="225">
                  <c:v>43962</c:v>
                </c:pt>
                <c:pt idx="226">
                  <c:v>43963</c:v>
                </c:pt>
                <c:pt idx="227">
                  <c:v>43964</c:v>
                </c:pt>
                <c:pt idx="228">
                  <c:v>43965</c:v>
                </c:pt>
                <c:pt idx="229">
                  <c:v>43966</c:v>
                </c:pt>
                <c:pt idx="230">
                  <c:v>43967</c:v>
                </c:pt>
                <c:pt idx="231">
                  <c:v>43968</c:v>
                </c:pt>
                <c:pt idx="232">
                  <c:v>43969</c:v>
                </c:pt>
                <c:pt idx="233">
                  <c:v>43970</c:v>
                </c:pt>
                <c:pt idx="234">
                  <c:v>43971</c:v>
                </c:pt>
                <c:pt idx="235">
                  <c:v>43972</c:v>
                </c:pt>
                <c:pt idx="236">
                  <c:v>43973</c:v>
                </c:pt>
                <c:pt idx="237">
                  <c:v>43974</c:v>
                </c:pt>
                <c:pt idx="238">
                  <c:v>43975</c:v>
                </c:pt>
                <c:pt idx="239">
                  <c:v>43976</c:v>
                </c:pt>
                <c:pt idx="240">
                  <c:v>43977</c:v>
                </c:pt>
                <c:pt idx="241">
                  <c:v>43978</c:v>
                </c:pt>
                <c:pt idx="242">
                  <c:v>43979</c:v>
                </c:pt>
                <c:pt idx="243">
                  <c:v>43980</c:v>
                </c:pt>
                <c:pt idx="244">
                  <c:v>43981</c:v>
                </c:pt>
                <c:pt idx="245">
                  <c:v>43982</c:v>
                </c:pt>
                <c:pt idx="246">
                  <c:v>43983</c:v>
                </c:pt>
                <c:pt idx="247">
                  <c:v>43984</c:v>
                </c:pt>
                <c:pt idx="248">
                  <c:v>43985</c:v>
                </c:pt>
                <c:pt idx="249">
                  <c:v>43986</c:v>
                </c:pt>
                <c:pt idx="250">
                  <c:v>43987</c:v>
                </c:pt>
                <c:pt idx="251">
                  <c:v>43988</c:v>
                </c:pt>
                <c:pt idx="252">
                  <c:v>43989</c:v>
                </c:pt>
                <c:pt idx="253">
                  <c:v>43990</c:v>
                </c:pt>
                <c:pt idx="254">
                  <c:v>43991</c:v>
                </c:pt>
              </c:numCache>
            </c:numRef>
          </c:xVal>
          <c:yVal>
            <c:numRef>
              <c:f>kozik!$F$5:$F$259</c:f>
              <c:numCache>
                <c:formatCode>#,##0.00</c:formatCode>
                <c:ptCount val="255"/>
                <c:pt idx="1">
                  <c:v>0.17364035087718444</c:v>
                </c:pt>
                <c:pt idx="2">
                  <c:v>0.42962121212122684</c:v>
                </c:pt>
                <c:pt idx="3">
                  <c:v>0.860458333333463</c:v>
                </c:pt>
                <c:pt idx="4">
                  <c:v>0.860458333333463</c:v>
                </c:pt>
                <c:pt idx="5">
                  <c:v>0.860458333333463</c:v>
                </c:pt>
                <c:pt idx="6">
                  <c:v>0.860458333333463</c:v>
                </c:pt>
                <c:pt idx="7">
                  <c:v>0.860458333333463</c:v>
                </c:pt>
                <c:pt idx="8">
                  <c:v>0.8693749999995134</c:v>
                </c:pt>
                <c:pt idx="9">
                  <c:v>2.1622916666664231</c:v>
                </c:pt>
                <c:pt idx="10">
                  <c:v>2.7195833333334956</c:v>
                </c:pt>
                <c:pt idx="11">
                  <c:v>1.9393749999997567</c:v>
                </c:pt>
                <c:pt idx="12">
                  <c:v>1.6050000000001621</c:v>
                </c:pt>
                <c:pt idx="13">
                  <c:v>1.9616666666665044</c:v>
                </c:pt>
                <c:pt idx="14">
                  <c:v>1.96166666666691</c:v>
                </c:pt>
                <c:pt idx="15">
                  <c:v>0.84708333333317098</c:v>
                </c:pt>
                <c:pt idx="16">
                  <c:v>0.84708333333317098</c:v>
                </c:pt>
                <c:pt idx="17">
                  <c:v>0.84708333333317098</c:v>
                </c:pt>
                <c:pt idx="18">
                  <c:v>0.82479166666723425</c:v>
                </c:pt>
                <c:pt idx="19">
                  <c:v>1.7164583333330901</c:v>
                </c:pt>
                <c:pt idx="20">
                  <c:v>2.0285416666667477</c:v>
                </c:pt>
                <c:pt idx="21">
                  <c:v>0.53945833333334947</c:v>
                </c:pt>
                <c:pt idx="22">
                  <c:v>0.53945833333334947</c:v>
                </c:pt>
                <c:pt idx="23">
                  <c:v>0.53945833333334947</c:v>
                </c:pt>
                <c:pt idx="24">
                  <c:v>0.53945833333334947</c:v>
                </c:pt>
                <c:pt idx="25">
                  <c:v>0.76237500000001612</c:v>
                </c:pt>
                <c:pt idx="26">
                  <c:v>1.315208333333252</c:v>
                </c:pt>
                <c:pt idx="27">
                  <c:v>1.863583333333463</c:v>
                </c:pt>
                <c:pt idx="28">
                  <c:v>1.863583333333463</c:v>
                </c:pt>
                <c:pt idx="29">
                  <c:v>1.863583333333463</c:v>
                </c:pt>
                <c:pt idx="30">
                  <c:v>1.863583333333463</c:v>
                </c:pt>
                <c:pt idx="31">
                  <c:v>1.863583333333463</c:v>
                </c:pt>
                <c:pt idx="32">
                  <c:v>1.8502083333327655</c:v>
                </c:pt>
                <c:pt idx="33">
                  <c:v>1.3374999999999997</c:v>
                </c:pt>
                <c:pt idx="34">
                  <c:v>3.2099999999999187</c:v>
                </c:pt>
                <c:pt idx="35">
                  <c:v>3.1208333333333331</c:v>
                </c:pt>
                <c:pt idx="36">
                  <c:v>3.1208333333333331</c:v>
                </c:pt>
                <c:pt idx="37">
                  <c:v>3.1074583333334469</c:v>
                </c:pt>
                <c:pt idx="38">
                  <c:v>1.0254166666667477</c:v>
                </c:pt>
                <c:pt idx="39">
                  <c:v>3.1386666666666501</c:v>
                </c:pt>
                <c:pt idx="40">
                  <c:v>2.795374999999789</c:v>
                </c:pt>
                <c:pt idx="41">
                  <c:v>2.5680000000000969</c:v>
                </c:pt>
                <c:pt idx="42">
                  <c:v>2.9112916666665529</c:v>
                </c:pt>
                <c:pt idx="43">
                  <c:v>3.334833333333544</c:v>
                </c:pt>
                <c:pt idx="44">
                  <c:v>3.6290833333330732</c:v>
                </c:pt>
                <c:pt idx="45">
                  <c:v>4.4806250000000807</c:v>
                </c:pt>
                <c:pt idx="46">
                  <c:v>3.6067916666667315</c:v>
                </c:pt>
                <c:pt idx="47">
                  <c:v>4.2666249999998698</c:v>
                </c:pt>
                <c:pt idx="48">
                  <c:v>3.6290833333334791</c:v>
                </c:pt>
                <c:pt idx="49">
                  <c:v>2.5992083333333009</c:v>
                </c:pt>
                <c:pt idx="50">
                  <c:v>3.0807083333332681</c:v>
                </c:pt>
                <c:pt idx="51">
                  <c:v>2.8890000000002107</c:v>
                </c:pt>
                <c:pt idx="52">
                  <c:v>3.1743333333332848</c:v>
                </c:pt>
                <c:pt idx="53">
                  <c:v>3.2367499999996916</c:v>
                </c:pt>
                <c:pt idx="54">
                  <c:v>2.9960000000001137</c:v>
                </c:pt>
                <c:pt idx="55">
                  <c:v>3.4552083333333332</c:v>
                </c:pt>
                <c:pt idx="56">
                  <c:v>2.6794583333334305</c:v>
                </c:pt>
                <c:pt idx="57">
                  <c:v>2.9514166666666175</c:v>
                </c:pt>
                <c:pt idx="58">
                  <c:v>3.205541666666488</c:v>
                </c:pt>
                <c:pt idx="59">
                  <c:v>3.5889583333334141</c:v>
                </c:pt>
                <c:pt idx="60">
                  <c:v>3.3972499999999513</c:v>
                </c:pt>
                <c:pt idx="61">
                  <c:v>3.4908749999999671</c:v>
                </c:pt>
                <c:pt idx="62">
                  <c:v>3.9099583333335275</c:v>
                </c:pt>
                <c:pt idx="63">
                  <c:v>4.0125000000000002</c:v>
                </c:pt>
                <c:pt idx="64">
                  <c:v>4.1016666666665857</c:v>
                </c:pt>
                <c:pt idx="65">
                  <c:v>4.0570833333334955</c:v>
                </c:pt>
                <c:pt idx="66">
                  <c:v>4.146250000000081</c:v>
                </c:pt>
                <c:pt idx="67">
                  <c:v>5.0379166666663417</c:v>
                </c:pt>
                <c:pt idx="68">
                  <c:v>5.4391666666669911</c:v>
                </c:pt>
                <c:pt idx="69">
                  <c:v>5.9295833333330092</c:v>
                </c:pt>
                <c:pt idx="70">
                  <c:v>4.4137500000002428</c:v>
                </c:pt>
                <c:pt idx="71">
                  <c:v>4.6366666666665042</c:v>
                </c:pt>
                <c:pt idx="72">
                  <c:v>3.7895833333333329</c:v>
                </c:pt>
                <c:pt idx="73">
                  <c:v>4.2354166666666666</c:v>
                </c:pt>
                <c:pt idx="74">
                  <c:v>5.3945833333334958</c:v>
                </c:pt>
                <c:pt idx="75">
                  <c:v>5.884999999999919</c:v>
                </c:pt>
                <c:pt idx="76">
                  <c:v>5.3499999999999988</c:v>
                </c:pt>
                <c:pt idx="77">
                  <c:v>4.7258333333334948</c:v>
                </c:pt>
                <c:pt idx="78">
                  <c:v>4.6366666666665042</c:v>
                </c:pt>
                <c:pt idx="79">
                  <c:v>4.5029166666668283</c:v>
                </c:pt>
                <c:pt idx="80">
                  <c:v>4.0570833333330896</c:v>
                </c:pt>
                <c:pt idx="81">
                  <c:v>4.0570833333334955</c:v>
                </c:pt>
                <c:pt idx="82">
                  <c:v>3.3883333333330898</c:v>
                </c:pt>
                <c:pt idx="83">
                  <c:v>3.7449999999998376</c:v>
                </c:pt>
                <c:pt idx="84">
                  <c:v>3.7449999999998376</c:v>
                </c:pt>
                <c:pt idx="85">
                  <c:v>3.7449999999998376</c:v>
                </c:pt>
                <c:pt idx="86">
                  <c:v>3.7449999999998376</c:v>
                </c:pt>
                <c:pt idx="87">
                  <c:v>3.7895833333341442</c:v>
                </c:pt>
                <c:pt idx="88">
                  <c:v>3.2991666666665043</c:v>
                </c:pt>
                <c:pt idx="89">
                  <c:v>3.6558333333336575</c:v>
                </c:pt>
                <c:pt idx="90">
                  <c:v>3.34375</c:v>
                </c:pt>
                <c:pt idx="91">
                  <c:v>3.4774999999996754</c:v>
                </c:pt>
                <c:pt idx="92">
                  <c:v>5.2162500000003238</c:v>
                </c:pt>
                <c:pt idx="93">
                  <c:v>5.884999999999919</c:v>
                </c:pt>
                <c:pt idx="94">
                  <c:v>4.1016666666665857</c:v>
                </c:pt>
                <c:pt idx="95">
                  <c:v>4.2354166666666666</c:v>
                </c:pt>
                <c:pt idx="96">
                  <c:v>5.4391666666665843</c:v>
                </c:pt>
                <c:pt idx="97">
                  <c:v>5.4837500000000814</c:v>
                </c:pt>
                <c:pt idx="98">
                  <c:v>4.5920833333334139</c:v>
                </c:pt>
                <c:pt idx="99">
                  <c:v>5.3054166666665044</c:v>
                </c:pt>
                <c:pt idx="100">
                  <c:v>5.572916666666667</c:v>
                </c:pt>
                <c:pt idx="101">
                  <c:v>5.2608333333334141</c:v>
                </c:pt>
                <c:pt idx="102">
                  <c:v>5.8404166666668287</c:v>
                </c:pt>
                <c:pt idx="103">
                  <c:v>5.7958333333333334</c:v>
                </c:pt>
                <c:pt idx="104">
                  <c:v>5.3499999999999988</c:v>
                </c:pt>
                <c:pt idx="105">
                  <c:v>4.3691666666663425</c:v>
                </c:pt>
                <c:pt idx="106">
                  <c:v>5.6620833333336575</c:v>
                </c:pt>
                <c:pt idx="107">
                  <c:v>5.6174999999997555</c:v>
                </c:pt>
                <c:pt idx="108">
                  <c:v>5.8404166666668287</c:v>
                </c:pt>
                <c:pt idx="109">
                  <c:v>5.6620833333332525</c:v>
                </c:pt>
                <c:pt idx="110">
                  <c:v>5.6620833333332525</c:v>
                </c:pt>
                <c:pt idx="111">
                  <c:v>5.884999999999919</c:v>
                </c:pt>
                <c:pt idx="112">
                  <c:v>5.8404166666668287</c:v>
                </c:pt>
                <c:pt idx="113">
                  <c:v>4.9933333333332515</c:v>
                </c:pt>
                <c:pt idx="114">
                  <c:v>5.1270833333333332</c:v>
                </c:pt>
                <c:pt idx="115">
                  <c:v>5.2162499999999188</c:v>
                </c:pt>
                <c:pt idx="116">
                  <c:v>4.9933333333336574</c:v>
                </c:pt>
                <c:pt idx="117">
                  <c:v>6.0187499999999998</c:v>
                </c:pt>
                <c:pt idx="118">
                  <c:v>5.7958333333333334</c:v>
                </c:pt>
                <c:pt idx="119">
                  <c:v>5.8404166666664237</c:v>
                </c:pt>
                <c:pt idx="120">
                  <c:v>5.9741666666669095</c:v>
                </c:pt>
                <c:pt idx="121">
                  <c:v>6.0187499999999998</c:v>
                </c:pt>
                <c:pt idx="122">
                  <c:v>5.7512499999998381</c:v>
                </c:pt>
                <c:pt idx="123">
                  <c:v>5.572916666666667</c:v>
                </c:pt>
                <c:pt idx="124">
                  <c:v>4.9487500000001621</c:v>
                </c:pt>
                <c:pt idx="125">
                  <c:v>3.7449999999998376</c:v>
                </c:pt>
                <c:pt idx="126">
                  <c:v>1.1145833333333333</c:v>
                </c:pt>
                <c:pt idx="127">
                  <c:v>2.7195833333334956</c:v>
                </c:pt>
                <c:pt idx="128">
                  <c:v>3.34375</c:v>
                </c:pt>
                <c:pt idx="129">
                  <c:v>3.8341666666664231</c:v>
                </c:pt>
                <c:pt idx="130">
                  <c:v>4.6812499999999995</c:v>
                </c:pt>
                <c:pt idx="131">
                  <c:v>4.9487500000001621</c:v>
                </c:pt>
                <c:pt idx="132">
                  <c:v>4.2354166666666666</c:v>
                </c:pt>
                <c:pt idx="133">
                  <c:v>4.3691666666667475</c:v>
                </c:pt>
                <c:pt idx="134">
                  <c:v>4.5474999999999186</c:v>
                </c:pt>
                <c:pt idx="135">
                  <c:v>4.1016666666665857</c:v>
                </c:pt>
                <c:pt idx="136">
                  <c:v>4.6812499999999995</c:v>
                </c:pt>
                <c:pt idx="137">
                  <c:v>4.4137499999998377</c:v>
                </c:pt>
                <c:pt idx="138">
                  <c:v>4.5029166666668283</c:v>
                </c:pt>
                <c:pt idx="139">
                  <c:v>3.655833333333252</c:v>
                </c:pt>
                <c:pt idx="140">
                  <c:v>3.1654166666668289</c:v>
                </c:pt>
                <c:pt idx="141">
                  <c:v>3.2545833333334144</c:v>
                </c:pt>
                <c:pt idx="142">
                  <c:v>2.8533333333331705</c:v>
                </c:pt>
                <c:pt idx="143">
                  <c:v>3.4329166666665856</c:v>
                </c:pt>
                <c:pt idx="144">
                  <c:v>3.2991666666669097</c:v>
                </c:pt>
                <c:pt idx="145">
                  <c:v>3.7895833333333329</c:v>
                </c:pt>
                <c:pt idx="146">
                  <c:v>4.0125000000000002</c:v>
                </c:pt>
                <c:pt idx="147">
                  <c:v>4.1908333333331713</c:v>
                </c:pt>
                <c:pt idx="148">
                  <c:v>3.0316666666667476</c:v>
                </c:pt>
                <c:pt idx="149">
                  <c:v>3.5220833333331711</c:v>
                </c:pt>
                <c:pt idx="150">
                  <c:v>3.7004166666667473</c:v>
                </c:pt>
                <c:pt idx="151">
                  <c:v>3.8787499999999184</c:v>
                </c:pt>
                <c:pt idx="152">
                  <c:v>3.8787499999999184</c:v>
                </c:pt>
                <c:pt idx="153">
                  <c:v>4.7258333333334948</c:v>
                </c:pt>
                <c:pt idx="154">
                  <c:v>4.4137499999998377</c:v>
                </c:pt>
                <c:pt idx="155">
                  <c:v>3.4775000000000809</c:v>
                </c:pt>
                <c:pt idx="156">
                  <c:v>3.6112500000001617</c:v>
                </c:pt>
                <c:pt idx="157">
                  <c:v>2.7641666666665849</c:v>
                </c:pt>
                <c:pt idx="158">
                  <c:v>2.6749999999999994</c:v>
                </c:pt>
                <c:pt idx="159">
                  <c:v>3.8787499999999184</c:v>
                </c:pt>
                <c:pt idx="160">
                  <c:v>3.5220833333335761</c:v>
                </c:pt>
                <c:pt idx="161">
                  <c:v>2.8979166666666667</c:v>
                </c:pt>
                <c:pt idx="162">
                  <c:v>4.1462499999996751</c:v>
                </c:pt>
                <c:pt idx="163">
                  <c:v>2.942500000000162</c:v>
                </c:pt>
                <c:pt idx="164">
                  <c:v>3.7004166666667473</c:v>
                </c:pt>
                <c:pt idx="165">
                  <c:v>2.942500000000162</c:v>
                </c:pt>
                <c:pt idx="166">
                  <c:v>2.9870833333332523</c:v>
                </c:pt>
                <c:pt idx="167">
                  <c:v>2.4966666666668287</c:v>
                </c:pt>
                <c:pt idx="168">
                  <c:v>2.4966666666668287</c:v>
                </c:pt>
                <c:pt idx="169">
                  <c:v>2.4966666666660178</c:v>
                </c:pt>
                <c:pt idx="170">
                  <c:v>3.9679166666669095</c:v>
                </c:pt>
                <c:pt idx="171">
                  <c:v>2.6304166666665041</c:v>
                </c:pt>
                <c:pt idx="172">
                  <c:v>2.3183333333332521</c:v>
                </c:pt>
                <c:pt idx="173">
                  <c:v>2.1400000000000809</c:v>
                </c:pt>
                <c:pt idx="174">
                  <c:v>2.7641666666665849</c:v>
                </c:pt>
                <c:pt idx="175">
                  <c:v>2.8979166666666667</c:v>
                </c:pt>
                <c:pt idx="176">
                  <c:v>3.4329166666669906</c:v>
                </c:pt>
                <c:pt idx="177">
                  <c:v>3.2991666666665043</c:v>
                </c:pt>
                <c:pt idx="178">
                  <c:v>3.967916666666504</c:v>
                </c:pt>
                <c:pt idx="179">
                  <c:v>4.6366666666669092</c:v>
                </c:pt>
                <c:pt idx="180">
                  <c:v>2.8533333333331705</c:v>
                </c:pt>
                <c:pt idx="181">
                  <c:v>2.5412499999999185</c:v>
                </c:pt>
                <c:pt idx="182">
                  <c:v>1.96166666666691</c:v>
                </c:pt>
                <c:pt idx="183">
                  <c:v>2.9424999999997561</c:v>
                </c:pt>
                <c:pt idx="184">
                  <c:v>3.5220833333335761</c:v>
                </c:pt>
                <c:pt idx="185">
                  <c:v>3.4329166666665856</c:v>
                </c:pt>
                <c:pt idx="186">
                  <c:v>3.4329166666665856</c:v>
                </c:pt>
                <c:pt idx="187">
                  <c:v>3.2545833333334144</c:v>
                </c:pt>
                <c:pt idx="188">
                  <c:v>3.5666666666666664</c:v>
                </c:pt>
                <c:pt idx="189">
                  <c:v>2.4520833333333329</c:v>
                </c:pt>
                <c:pt idx="190">
                  <c:v>2.1400000000000809</c:v>
                </c:pt>
                <c:pt idx="191">
                  <c:v>1.5158333333331708</c:v>
                </c:pt>
                <c:pt idx="192">
                  <c:v>1.3820833333334954</c:v>
                </c:pt>
                <c:pt idx="193">
                  <c:v>1.38208333333309</c:v>
                </c:pt>
                <c:pt idx="194">
                  <c:v>0.71333333333349547</c:v>
                </c:pt>
                <c:pt idx="195">
                  <c:v>1.0699999999998377</c:v>
                </c:pt>
                <c:pt idx="196">
                  <c:v>0.93625000000016223</c:v>
                </c:pt>
                <c:pt idx="197">
                  <c:v>1.5604166666666666</c:v>
                </c:pt>
                <c:pt idx="198">
                  <c:v>1.3374999999999997</c:v>
                </c:pt>
                <c:pt idx="199">
                  <c:v>1.8279166666668287</c:v>
                </c:pt>
                <c:pt idx="200">
                  <c:v>1.6049999999997564</c:v>
                </c:pt>
                <c:pt idx="201">
                  <c:v>1.471250000000081</c:v>
                </c:pt>
                <c:pt idx="202">
                  <c:v>0.93625000000016223</c:v>
                </c:pt>
                <c:pt idx="203">
                  <c:v>1.2037499999999188</c:v>
                </c:pt>
                <c:pt idx="204">
                  <c:v>1.1145833333333333</c:v>
                </c:pt>
                <c:pt idx="205">
                  <c:v>0.89166666666666661</c:v>
                </c:pt>
                <c:pt idx="206">
                  <c:v>0.89166666666666661</c:v>
                </c:pt>
                <c:pt idx="207">
                  <c:v>1.0254166666667477</c:v>
                </c:pt>
                <c:pt idx="208">
                  <c:v>0.93624999999975655</c:v>
                </c:pt>
                <c:pt idx="209">
                  <c:v>0.80250000000008104</c:v>
                </c:pt>
                <c:pt idx="210">
                  <c:v>0.84708333333317098</c:v>
                </c:pt>
                <c:pt idx="211">
                  <c:v>1.2483333333334143</c:v>
                </c:pt>
                <c:pt idx="212">
                  <c:v>0.6241666666669099</c:v>
                </c:pt>
                <c:pt idx="213">
                  <c:v>0.49041666666642336</c:v>
                </c:pt>
                <c:pt idx="214">
                  <c:v>1.0254166666667477</c:v>
                </c:pt>
                <c:pt idx="215">
                  <c:v>0.66874999999999984</c:v>
                </c:pt>
                <c:pt idx="216">
                  <c:v>0.71333333333349547</c:v>
                </c:pt>
                <c:pt idx="217">
                  <c:v>0.66874999999999984</c:v>
                </c:pt>
                <c:pt idx="218">
                  <c:v>0.71333333333309001</c:v>
                </c:pt>
                <c:pt idx="219">
                  <c:v>0.75791666666658541</c:v>
                </c:pt>
                <c:pt idx="220">
                  <c:v>0.84708333333357666</c:v>
                </c:pt>
                <c:pt idx="221">
                  <c:v>0.98083333333325218</c:v>
                </c:pt>
                <c:pt idx="222">
                  <c:v>0.98083333333325218</c:v>
                </c:pt>
                <c:pt idx="223">
                  <c:v>1.0254166666667477</c:v>
                </c:pt>
                <c:pt idx="224">
                  <c:v>0.71333333333349547</c:v>
                </c:pt>
                <c:pt idx="225">
                  <c:v>0.53499999999991887</c:v>
                </c:pt>
                <c:pt idx="226">
                  <c:v>0.31208333333325222</c:v>
                </c:pt>
                <c:pt idx="227">
                  <c:v>0.53499999999991887</c:v>
                </c:pt>
                <c:pt idx="228">
                  <c:v>1.471250000000081</c:v>
                </c:pt>
                <c:pt idx="229">
                  <c:v>2.1400000000000809</c:v>
                </c:pt>
                <c:pt idx="230">
                  <c:v>1.2483333333334143</c:v>
                </c:pt>
                <c:pt idx="231">
                  <c:v>1.0254166666663422</c:v>
                </c:pt>
                <c:pt idx="232">
                  <c:v>1.2037500000003243</c:v>
                </c:pt>
                <c:pt idx="233">
                  <c:v>0.62416666666650444</c:v>
                </c:pt>
                <c:pt idx="234">
                  <c:v>0.13375000000008108</c:v>
                </c:pt>
                <c:pt idx="235">
                  <c:v>0.35666666666674773</c:v>
                </c:pt>
                <c:pt idx="236">
                  <c:v>0.29424999999993512</c:v>
                </c:pt>
                <c:pt idx="237">
                  <c:v>0.32991666666656932</c:v>
                </c:pt>
                <c:pt idx="238">
                  <c:v>1.003125</c:v>
                </c:pt>
                <c:pt idx="239">
                  <c:v>1.003125</c:v>
                </c:pt>
                <c:pt idx="240">
                  <c:v>0</c:v>
                </c:pt>
                <c:pt idx="241">
                  <c:v>0.84708333333317098</c:v>
                </c:pt>
                <c:pt idx="242">
                  <c:v>1.1145833333333333</c:v>
                </c:pt>
                <c:pt idx="243">
                  <c:v>1.0700000000002432</c:v>
                </c:pt>
                <c:pt idx="244">
                  <c:v>1.0254166666667477</c:v>
                </c:pt>
                <c:pt idx="245">
                  <c:v>1.0699999999998377</c:v>
                </c:pt>
                <c:pt idx="246">
                  <c:v>1.2349583333335279</c:v>
                </c:pt>
                <c:pt idx="247">
                  <c:v>0.70441666666663416</c:v>
                </c:pt>
                <c:pt idx="248">
                  <c:v>0.2362916666665531</c:v>
                </c:pt>
                <c:pt idx="249">
                  <c:v>0.27195833333318736</c:v>
                </c:pt>
                <c:pt idx="250">
                  <c:v>0.27641666666661796</c:v>
                </c:pt>
                <c:pt idx="251">
                  <c:v>0.24520833333341441</c:v>
                </c:pt>
                <c:pt idx="252">
                  <c:v>0.4190833333335604</c:v>
                </c:pt>
                <c:pt idx="253">
                  <c:v>0.50379166666630981</c:v>
                </c:pt>
                <c:pt idx="254">
                  <c:v>0.19616666666689372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1615-4D23-A017-492E7DA08A47}"/>
            </c:ext>
          </c:extLst>
        </c:ser>
        <c:axId val="148809600"/>
        <c:axId val="148811136"/>
      </c:scatterChart>
      <c:valAx>
        <c:axId val="148809600"/>
        <c:scaling>
          <c:orientation val="minMax"/>
        </c:scaling>
        <c:axPos val="b"/>
        <c:majorGridlines/>
        <c:minorGridlines/>
        <c:numFmt formatCode="dd/mm/yyyy" sourceLinked="1"/>
        <c:tickLblPos val="nextTo"/>
        <c:txPr>
          <a:bodyPr rot="-720000"/>
          <a:lstStyle/>
          <a:p>
            <a:pPr>
              <a:defRPr/>
            </a:pPr>
            <a:endParaRPr lang="cs-CZ"/>
          </a:p>
        </c:txPr>
        <c:crossAx val="148811136"/>
        <c:crosses val="autoZero"/>
        <c:crossBetween val="midCat"/>
        <c:majorUnit val="30"/>
        <c:minorUnit val="7.5"/>
      </c:valAx>
      <c:valAx>
        <c:axId val="148811136"/>
        <c:scaling>
          <c:orientation val="minMax"/>
        </c:scaling>
        <c:axPos val="l"/>
        <c:majorGridlines/>
        <c:numFmt formatCode="General" sourceLinked="1"/>
        <c:tickLblPos val="nextTo"/>
        <c:crossAx val="14880960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Spotřeba odpovídá domu s TZ 11 kW/dT30K   U=366W/K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'struza 11kW'!$D$4</c:f>
              <c:strCache>
                <c:ptCount val="1"/>
                <c:pt idx="0">
                  <c:v>výkon plynu (kW)</c:v>
                </c:pt>
              </c:strCache>
            </c:strRef>
          </c:tx>
          <c:xVal>
            <c:numRef>
              <c:f>'struza 11kW'!$A$12:$A$18</c:f>
              <c:numCache>
                <c:formatCode>dd/mm/yyyy</c:formatCode>
                <c:ptCount val="7"/>
                <c:pt idx="0">
                  <c:v>43373.5</c:v>
                </c:pt>
                <c:pt idx="1">
                  <c:v>43404.5</c:v>
                </c:pt>
                <c:pt idx="2">
                  <c:v>43430.5</c:v>
                </c:pt>
                <c:pt idx="3">
                  <c:v>43465.5</c:v>
                </c:pt>
                <c:pt idx="4">
                  <c:v>43491.5</c:v>
                </c:pt>
                <c:pt idx="5">
                  <c:v>43516.5</c:v>
                </c:pt>
                <c:pt idx="6">
                  <c:v>43616.5</c:v>
                </c:pt>
              </c:numCache>
            </c:numRef>
          </c:xVal>
          <c:yVal>
            <c:numRef>
              <c:f>'struza 11kW'!$D$12:$D$18</c:f>
              <c:numCache>
                <c:formatCode>General</c:formatCode>
                <c:ptCount val="7"/>
                <c:pt idx="0">
                  <c:v>1.7087715517241377</c:v>
                </c:pt>
                <c:pt idx="1">
                  <c:v>2.4592741935483864</c:v>
                </c:pt>
                <c:pt idx="2">
                  <c:v>4.3820272435897429</c:v>
                </c:pt>
                <c:pt idx="3">
                  <c:v>5.856976190476189</c:v>
                </c:pt>
                <c:pt idx="4">
                  <c:v>6.564895833333332</c:v>
                </c:pt>
                <c:pt idx="5">
                  <c:v>5.2010916666666649</c:v>
                </c:pt>
                <c:pt idx="6">
                  <c:v>2.6259583333333332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03DC-4F2E-912F-165C87E9D0DA}"/>
            </c:ext>
          </c:extLst>
        </c:ser>
        <c:ser>
          <c:idx val="1"/>
          <c:order val="1"/>
          <c:tx>
            <c:strRef>
              <c:f>'struza 11kW'!$E$4</c:f>
              <c:strCache>
                <c:ptCount val="1"/>
                <c:pt idx="0">
                  <c:v>ztráty (kW)</c:v>
                </c:pt>
              </c:strCache>
            </c:strRef>
          </c:tx>
          <c:xVal>
            <c:numRef>
              <c:f>'struza 11kW'!$A$12:$A$18</c:f>
              <c:numCache>
                <c:formatCode>dd/mm/yyyy</c:formatCode>
                <c:ptCount val="7"/>
                <c:pt idx="0">
                  <c:v>43373.5</c:v>
                </c:pt>
                <c:pt idx="1">
                  <c:v>43404.5</c:v>
                </c:pt>
                <c:pt idx="2">
                  <c:v>43430.5</c:v>
                </c:pt>
                <c:pt idx="3">
                  <c:v>43465.5</c:v>
                </c:pt>
                <c:pt idx="4">
                  <c:v>43491.5</c:v>
                </c:pt>
                <c:pt idx="5">
                  <c:v>43516.5</c:v>
                </c:pt>
                <c:pt idx="6">
                  <c:v>43616.5</c:v>
                </c:pt>
              </c:numCache>
            </c:numRef>
          </c:xVal>
          <c:yVal>
            <c:numRef>
              <c:f>'struza 11kW'!$E$12:$E$18</c:f>
              <c:numCache>
                <c:formatCode>General</c:formatCode>
                <c:ptCount val="7"/>
                <c:pt idx="0">
                  <c:v>0.66724137931032246</c:v>
                </c:pt>
                <c:pt idx="1">
                  <c:v>2.6546236559139857</c:v>
                </c:pt>
                <c:pt idx="2">
                  <c:v>4.5399999999999974</c:v>
                </c:pt>
                <c:pt idx="3">
                  <c:v>5.8170476190476208</c:v>
                </c:pt>
                <c:pt idx="4">
                  <c:v>6.6850000000000103</c:v>
                </c:pt>
                <c:pt idx="5">
                  <c:v>6.0447999999999977</c:v>
                </c:pt>
                <c:pt idx="6">
                  <c:v>3.1440999999999977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03DC-4F2E-912F-165C87E9D0DA}"/>
            </c:ext>
          </c:extLst>
        </c:ser>
        <c:axId val="148827520"/>
        <c:axId val="148980864"/>
      </c:scatterChart>
      <c:valAx>
        <c:axId val="148827520"/>
        <c:scaling>
          <c:orientation val="minMax"/>
        </c:scaling>
        <c:axPos val="b"/>
        <c:majorGridlines/>
        <c:minorGridlines/>
        <c:numFmt formatCode="dd/mm/yyyy" sourceLinked="1"/>
        <c:tickLblPos val="nextTo"/>
        <c:crossAx val="148980864"/>
        <c:crosses val="autoZero"/>
        <c:crossBetween val="midCat"/>
        <c:majorUnit val="30"/>
        <c:minorUnit val="7.5"/>
      </c:valAx>
      <c:valAx>
        <c:axId val="148980864"/>
        <c:scaling>
          <c:orientation val="minMax"/>
        </c:scaling>
        <c:axPos val="l"/>
        <c:majorGridlines/>
        <c:numFmt formatCode="General" sourceLinked="1"/>
        <c:tickLblPos val="nextTo"/>
        <c:crossAx val="148827520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Závislost spotřeby plynu na venkovní teplotě a z ní odvozených ztrát domu. Modrá kW topení, červená kW ztráty.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'13,5 kW nezat'!$E$4</c:f>
              <c:strCache>
                <c:ptCount val="1"/>
                <c:pt idx="0">
                  <c:v>kW topení</c:v>
                </c:pt>
              </c:strCache>
            </c:strRef>
          </c:tx>
          <c:xVal>
            <c:numRef>
              <c:f>'13,5 kW nezat'!$B$5:$B$21</c:f>
              <c:numCache>
                <c:formatCode>mmm/yy</c:formatCode>
                <c:ptCount val="17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</c:numCache>
            </c:numRef>
          </c:xVal>
          <c:yVal>
            <c:numRef>
              <c:f>'13,5 kW nezat'!$E$5:$E$21</c:f>
              <c:numCache>
                <c:formatCode>General</c:formatCode>
                <c:ptCount val="17"/>
                <c:pt idx="0">
                  <c:v>3.8354166666666667</c:v>
                </c:pt>
                <c:pt idx="1">
                  <c:v>6.5679435483870963</c:v>
                </c:pt>
                <c:pt idx="2">
                  <c:v>7.5767013888888872</c:v>
                </c:pt>
                <c:pt idx="3">
                  <c:v>6.6772446236559135</c:v>
                </c:pt>
                <c:pt idx="4">
                  <c:v>7.8522311827956983</c:v>
                </c:pt>
                <c:pt idx="5">
                  <c:v>7.843936011904761</c:v>
                </c:pt>
                <c:pt idx="6">
                  <c:v>1.5127688172043006</c:v>
                </c:pt>
                <c:pt idx="7">
                  <c:v>5.1777777777777645E-2</c:v>
                </c:pt>
                <c:pt idx="8">
                  <c:v>-4.4771505376344112E-2</c:v>
                </c:pt>
                <c:pt idx="9">
                  <c:v>2.3541666666666627E-2</c:v>
                </c:pt>
                <c:pt idx="10">
                  <c:v>-5.8434139784946326E-2</c:v>
                </c:pt>
                <c:pt idx="11">
                  <c:v>1.0755645161290319</c:v>
                </c:pt>
                <c:pt idx="12">
                  <c:v>4.0613055555555553</c:v>
                </c:pt>
                <c:pt idx="13">
                  <c:v>6.1307392473118272</c:v>
                </c:pt>
                <c:pt idx="14">
                  <c:v>7.972006944444443</c:v>
                </c:pt>
                <c:pt idx="15">
                  <c:v>8.4397244623655894</c:v>
                </c:pt>
                <c:pt idx="16">
                  <c:v>6.6909072580645148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40A-4B51-BC9C-2FF9D26D2A1D}"/>
            </c:ext>
          </c:extLst>
        </c:ser>
        <c:ser>
          <c:idx val="1"/>
          <c:order val="1"/>
          <c:tx>
            <c:strRef>
              <c:f>'13,5 kW nezat'!$F$4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'13,5 kW nezat'!$B$5:$B$21</c:f>
              <c:numCache>
                <c:formatCode>mmm/yy</c:formatCode>
                <c:ptCount val="17"/>
                <c:pt idx="0">
                  <c:v>43009</c:v>
                </c:pt>
                <c:pt idx="1">
                  <c:v>43040</c:v>
                </c:pt>
                <c:pt idx="2">
                  <c:v>43070</c:v>
                </c:pt>
                <c:pt idx="3">
                  <c:v>43101</c:v>
                </c:pt>
                <c:pt idx="4">
                  <c:v>43132</c:v>
                </c:pt>
                <c:pt idx="5">
                  <c:v>43160</c:v>
                </c:pt>
                <c:pt idx="6">
                  <c:v>43191</c:v>
                </c:pt>
                <c:pt idx="7">
                  <c:v>43221</c:v>
                </c:pt>
                <c:pt idx="8">
                  <c:v>43252</c:v>
                </c:pt>
                <c:pt idx="9">
                  <c:v>43282</c:v>
                </c:pt>
                <c:pt idx="10">
                  <c:v>43313</c:v>
                </c:pt>
                <c:pt idx="11">
                  <c:v>43344</c:v>
                </c:pt>
                <c:pt idx="12">
                  <c:v>43374</c:v>
                </c:pt>
                <c:pt idx="13">
                  <c:v>43405</c:v>
                </c:pt>
                <c:pt idx="14">
                  <c:v>43435</c:v>
                </c:pt>
                <c:pt idx="15">
                  <c:v>43466</c:v>
                </c:pt>
                <c:pt idx="16">
                  <c:v>43497</c:v>
                </c:pt>
              </c:numCache>
            </c:numRef>
          </c:xVal>
          <c:yVal>
            <c:numRef>
              <c:f>'13,5 kW nezat'!$F$5:$F$21</c:f>
              <c:numCache>
                <c:formatCode>General</c:formatCode>
                <c:ptCount val="17"/>
                <c:pt idx="0">
                  <c:v>3.5234999999999674</c:v>
                </c:pt>
                <c:pt idx="1">
                  <c:v>6.5438709677418982</c:v>
                </c:pt>
                <c:pt idx="2">
                  <c:v>7.5237096774192906</c:v>
                </c:pt>
                <c:pt idx="3">
                  <c:v>6.9316071428571604</c:v>
                </c:pt>
                <c:pt idx="4">
                  <c:v>9.5864516129032484</c:v>
                </c:pt>
                <c:pt idx="5">
                  <c:v>7.4414999999999516</c:v>
                </c:pt>
                <c:pt idx="6">
                  <c:v>2.4561290322580489</c:v>
                </c:pt>
                <c:pt idx="7">
                  <c:v>0.43350000000002142</c:v>
                </c:pt>
                <c:pt idx="8">
                  <c:v>0.38032258064517188</c:v>
                </c:pt>
                <c:pt idx="9">
                  <c:v>0</c:v>
                </c:pt>
                <c:pt idx="10">
                  <c:v>0</c:v>
                </c:pt>
                <c:pt idx="11">
                  <c:v>1.5633870967741779</c:v>
                </c:pt>
                <c:pt idx="12">
                  <c:v>3.4259999999999944</c:v>
                </c:pt>
                <c:pt idx="13">
                  <c:v>6.6832258064516079</c:v>
                </c:pt>
                <c:pt idx="14">
                  <c:v>7.0969354838710679</c:v>
                </c:pt>
                <c:pt idx="15">
                  <c:v>8.5564285714286239</c:v>
                </c:pt>
                <c:pt idx="16">
                  <c:v>8.5508881000792645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240A-4B51-BC9C-2FF9D26D2A1D}"/>
            </c:ext>
          </c:extLst>
        </c:ser>
        <c:axId val="149010304"/>
        <c:axId val="149011840"/>
      </c:scatterChart>
      <c:valAx>
        <c:axId val="149010304"/>
        <c:scaling>
          <c:orientation val="minMax"/>
        </c:scaling>
        <c:axPos val="b"/>
        <c:majorGridlines/>
        <c:minorGridlines/>
        <c:numFmt formatCode="mmm/yy" sourceLinked="1"/>
        <c:tickLblPos val="nextTo"/>
        <c:crossAx val="149011840"/>
        <c:crosses val="autoZero"/>
        <c:crossBetween val="midCat"/>
        <c:majorUnit val="91"/>
        <c:minorUnit val="30.330000000000005"/>
      </c:valAx>
      <c:valAx>
        <c:axId val="149011840"/>
        <c:scaling>
          <c:orientation val="minMax"/>
          <c:min val="-2"/>
        </c:scaling>
        <c:axPos val="l"/>
        <c:majorGridlines/>
        <c:minorGridlines/>
        <c:numFmt formatCode="General" sourceLinked="1"/>
        <c:tickLblPos val="nextTo"/>
        <c:crossAx val="149010304"/>
        <c:crosses val="autoZero"/>
        <c:crossBetween val="midCat"/>
        <c:majorUnit val="1"/>
        <c:minorUnit val="0.5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Novak!$A$130:$A$162</c:f>
              <c:numCache>
                <c:formatCode>d/m/yy;@</c:formatCode>
                <c:ptCount val="33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</c:numCache>
            </c:numRef>
          </c:xVal>
          <c:yVal>
            <c:numRef>
              <c:f>Novak!$B$130:$B$162</c:f>
              <c:numCache>
                <c:formatCode>General</c:formatCode>
                <c:ptCount val="33"/>
                <c:pt idx="0">
                  <c:v>21.751612903225901</c:v>
                </c:pt>
                <c:pt idx="1">
                  <c:v>16.043333333333369</c:v>
                </c:pt>
                <c:pt idx="2">
                  <c:v>11.01935483870969</c:v>
                </c:pt>
                <c:pt idx="3">
                  <c:v>4.2866666666666786</c:v>
                </c:pt>
                <c:pt idx="4">
                  <c:v>3.2290322580642932</c:v>
                </c:pt>
                <c:pt idx="5">
                  <c:v>-1.2903225806557232E-2</c:v>
                </c:pt>
                <c:pt idx="6">
                  <c:v>3.067857142857195</c:v>
                </c:pt>
                <c:pt idx="7">
                  <c:v>7.361290322580551</c:v>
                </c:pt>
                <c:pt idx="8">
                  <c:v>10.860000000000097</c:v>
                </c:pt>
                <c:pt idx="9">
                  <c:v>12.29354838709661</c:v>
                </c:pt>
                <c:pt idx="10">
                  <c:v>22.053333333333526</c:v>
                </c:pt>
                <c:pt idx="11">
                  <c:v>20.22903225806435</c:v>
                </c:pt>
                <c:pt idx="12">
                  <c:v>20.332258064516104</c:v>
                </c:pt>
                <c:pt idx="13">
                  <c:v>14.676666666666522</c:v>
                </c:pt>
                <c:pt idx="14">
                  <c:v>10.209677419354721</c:v>
                </c:pt>
                <c:pt idx="15">
                  <c:v>6.1799999999999269</c:v>
                </c:pt>
                <c:pt idx="16">
                  <c:v>3.0612903225802226</c:v>
                </c:pt>
                <c:pt idx="17">
                  <c:v>1.8483870967739353</c:v>
                </c:pt>
                <c:pt idx="18">
                  <c:v>5.1965517241380814</c:v>
                </c:pt>
                <c:pt idx="19">
                  <c:v>4.9870967741935015</c:v>
                </c:pt>
                <c:pt idx="20">
                  <c:v>10.960000000000218</c:v>
                </c:pt>
                <c:pt idx="21">
                  <c:v>12.390322580645231</c:v>
                </c:pt>
                <c:pt idx="22">
                  <c:v>17.819999999999951</c:v>
                </c:pt>
                <c:pt idx="23">
                  <c:v>19.425806451613045</c:v>
                </c:pt>
                <c:pt idx="24">
                  <c:v>20.164516129032329</c:v>
                </c:pt>
                <c:pt idx="25">
                  <c:v>15.693333333333067</c:v>
                </c:pt>
                <c:pt idx="26">
                  <c:v>10.200000000000024</c:v>
                </c:pt>
                <c:pt idx="27">
                  <c:v>4.4833333333335759</c:v>
                </c:pt>
                <c:pt idx="28">
                  <c:v>2.9193548387097947</c:v>
                </c:pt>
                <c:pt idx="29">
                  <c:v>5.4838709677325473E-2</c:v>
                </c:pt>
                <c:pt idx="30">
                  <c:v>-0.5035714285715065</c:v>
                </c:pt>
                <c:pt idx="31">
                  <c:v>1.6750000000010914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377-4021-89B3-4E83850BE00D}"/>
            </c:ext>
          </c:extLst>
        </c:ser>
        <c:axId val="118483968"/>
        <c:axId val="118633216"/>
      </c:scatterChart>
      <c:valAx>
        <c:axId val="118483968"/>
        <c:scaling>
          <c:orientation val="minMax"/>
        </c:scaling>
        <c:axPos val="b"/>
        <c:numFmt formatCode="d/m/yy;@" sourceLinked="1"/>
        <c:tickLblPos val="nextTo"/>
        <c:crossAx val="118633216"/>
        <c:crosses val="autoZero"/>
        <c:crossBetween val="midCat"/>
      </c:valAx>
      <c:valAx>
        <c:axId val="118633216"/>
        <c:scaling>
          <c:orientation val="minMax"/>
        </c:scaling>
        <c:axPos val="l"/>
        <c:majorGridlines/>
        <c:numFmt formatCode="General" sourceLinked="1"/>
        <c:tickLblPos val="nextTo"/>
        <c:crossAx val="118483968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Porovnání topného výkonu plynu s denostupni DS 17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'Oswald  16,6 kW'!$E$3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'Oswald  16,6 kW'!$A$4:$A$16</c:f>
              <c:numCache>
                <c:formatCode>dd/mm/yyyy</c:formatCode>
                <c:ptCount val="13"/>
                <c:pt idx="0">
                  <c:v>43312</c:v>
                </c:pt>
                <c:pt idx="1">
                  <c:v>43343</c:v>
                </c:pt>
                <c:pt idx="2">
                  <c:v>43373</c:v>
                </c:pt>
                <c:pt idx="3">
                  <c:v>43404</c:v>
                </c:pt>
                <c:pt idx="4">
                  <c:v>43434</c:v>
                </c:pt>
                <c:pt idx="5">
                  <c:v>43465</c:v>
                </c:pt>
                <c:pt idx="6">
                  <c:v>43496</c:v>
                </c:pt>
                <c:pt idx="7">
                  <c:v>43524</c:v>
                </c:pt>
                <c:pt idx="8">
                  <c:v>43555</c:v>
                </c:pt>
                <c:pt idx="9">
                  <c:v>43585</c:v>
                </c:pt>
                <c:pt idx="10">
                  <c:v>43616</c:v>
                </c:pt>
                <c:pt idx="11">
                  <c:v>43646</c:v>
                </c:pt>
                <c:pt idx="12">
                  <c:v>43677</c:v>
                </c:pt>
              </c:numCache>
            </c:numRef>
          </c:xVal>
          <c:yVal>
            <c:numRef>
              <c:f>'Oswald  16,6 kW'!$E$4:$E$16</c:f>
              <c:numCache>
                <c:formatCode>General</c:formatCode>
                <c:ptCount val="13"/>
                <c:pt idx="1">
                  <c:v>-0.10066245161290338</c:v>
                </c:pt>
                <c:pt idx="2">
                  <c:v>1.0570881333333337</c:v>
                </c:pt>
                <c:pt idx="3">
                  <c:v>3.4354459354838691</c:v>
                </c:pt>
                <c:pt idx="4">
                  <c:v>6.4321689333333341</c:v>
                </c:pt>
                <c:pt idx="5">
                  <c:v>7.9838709677419351</c:v>
                </c:pt>
                <c:pt idx="6">
                  <c:v>9.3783225806451593</c:v>
                </c:pt>
                <c:pt idx="7">
                  <c:v>7.7218970000000011</c:v>
                </c:pt>
                <c:pt idx="8">
                  <c:v>5.7500285161290314</c:v>
                </c:pt>
                <c:pt idx="9">
                  <c:v>3.357260000000005</c:v>
                </c:pt>
                <c:pt idx="10">
                  <c:v>2.9949096774193498</c:v>
                </c:pt>
                <c:pt idx="11">
                  <c:v>9.8720000000036556E-3</c:v>
                </c:pt>
                <c:pt idx="12">
                  <c:v>2.0851612903241001E-3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081-49BB-B597-906B9B77045B}"/>
            </c:ext>
          </c:extLst>
        </c:ser>
        <c:ser>
          <c:idx val="1"/>
          <c:order val="1"/>
          <c:tx>
            <c:strRef>
              <c:f>'Oswald  16,6 kW'!$F$3</c:f>
              <c:strCache>
                <c:ptCount val="1"/>
                <c:pt idx="0">
                  <c:v>TZ (kW)</c:v>
                </c:pt>
              </c:strCache>
            </c:strRef>
          </c:tx>
          <c:xVal>
            <c:numRef>
              <c:f>'Oswald  16,6 kW'!$A$4:$A$16</c:f>
              <c:numCache>
                <c:formatCode>dd/mm/yyyy</c:formatCode>
                <c:ptCount val="13"/>
                <c:pt idx="0">
                  <c:v>43312</c:v>
                </c:pt>
                <c:pt idx="1">
                  <c:v>43343</c:v>
                </c:pt>
                <c:pt idx="2">
                  <c:v>43373</c:v>
                </c:pt>
                <c:pt idx="3">
                  <c:v>43404</c:v>
                </c:pt>
                <c:pt idx="4">
                  <c:v>43434</c:v>
                </c:pt>
                <c:pt idx="5">
                  <c:v>43465</c:v>
                </c:pt>
                <c:pt idx="6">
                  <c:v>43496</c:v>
                </c:pt>
                <c:pt idx="7">
                  <c:v>43524</c:v>
                </c:pt>
                <c:pt idx="8">
                  <c:v>43555</c:v>
                </c:pt>
                <c:pt idx="9">
                  <c:v>43585</c:v>
                </c:pt>
                <c:pt idx="10">
                  <c:v>43616</c:v>
                </c:pt>
                <c:pt idx="11">
                  <c:v>43646</c:v>
                </c:pt>
                <c:pt idx="12">
                  <c:v>43677</c:v>
                </c:pt>
              </c:numCache>
            </c:numRef>
          </c:xVal>
          <c:yVal>
            <c:numRef>
              <c:f>'Oswald  16,6 kW'!$F$4:$F$16</c:f>
              <c:numCache>
                <c:formatCode>General</c:formatCode>
                <c:ptCount val="13"/>
                <c:pt idx="1">
                  <c:v>0</c:v>
                </c:pt>
                <c:pt idx="2">
                  <c:v>0.39286666666662001</c:v>
                </c:pt>
                <c:pt idx="3">
                  <c:v>3.3521290322580848</c:v>
                </c:pt>
                <c:pt idx="4">
                  <c:v>6.833666666666633</c:v>
                </c:pt>
                <c:pt idx="5">
                  <c:v>7.7573763440861585</c:v>
                </c:pt>
                <c:pt idx="6">
                  <c:v>9.3174193548387745</c:v>
                </c:pt>
                <c:pt idx="7">
                  <c:v>7.8652380952380598</c:v>
                </c:pt>
                <c:pt idx="8">
                  <c:v>5.3120000000000394</c:v>
                </c:pt>
                <c:pt idx="9">
                  <c:v>3.4712444444443906</c:v>
                </c:pt>
                <c:pt idx="10">
                  <c:v>2.7648817204301985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A081-49BB-B597-906B9B77045B}"/>
            </c:ext>
          </c:extLst>
        </c:ser>
        <c:axId val="149211008"/>
        <c:axId val="149212544"/>
      </c:scatterChart>
      <c:valAx>
        <c:axId val="149211008"/>
        <c:scaling>
          <c:orientation val="minMax"/>
        </c:scaling>
        <c:axPos val="b"/>
        <c:majorGridlines/>
        <c:numFmt formatCode="dd/mm/yyyy" sourceLinked="1"/>
        <c:tickLblPos val="nextTo"/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9212544"/>
        <c:crosses val="autoZero"/>
        <c:crossBetween val="midCat"/>
        <c:majorUnit val="30.5"/>
      </c:valAx>
      <c:valAx>
        <c:axId val="149212544"/>
        <c:scaling>
          <c:orientation val="minMax"/>
        </c:scaling>
        <c:axPos val="l"/>
        <c:majorGridlines/>
        <c:numFmt formatCode="General" sourceLinked="1"/>
        <c:tickLblPos val="nextTo"/>
        <c:crossAx val="149211008"/>
        <c:crosses val="autoZero"/>
        <c:crossBetween val="midCat"/>
        <c:majorUnit val="1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Rozdíl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'Oswald  16,6 kW'!$G$3</c:f>
              <c:strCache>
                <c:ptCount val="1"/>
                <c:pt idx="0">
                  <c:v>odch (kW</c:v>
                </c:pt>
              </c:strCache>
            </c:strRef>
          </c:tx>
          <c:xVal>
            <c:numRef>
              <c:f>'Oswald  16,6 kW'!$A$4:$A$16</c:f>
              <c:numCache>
                <c:formatCode>dd/mm/yyyy</c:formatCode>
                <c:ptCount val="13"/>
                <c:pt idx="0">
                  <c:v>43312</c:v>
                </c:pt>
                <c:pt idx="1">
                  <c:v>43343</c:v>
                </c:pt>
                <c:pt idx="2">
                  <c:v>43373</c:v>
                </c:pt>
                <c:pt idx="3">
                  <c:v>43404</c:v>
                </c:pt>
                <c:pt idx="4">
                  <c:v>43434</c:v>
                </c:pt>
                <c:pt idx="5">
                  <c:v>43465</c:v>
                </c:pt>
                <c:pt idx="6">
                  <c:v>43496</c:v>
                </c:pt>
                <c:pt idx="7">
                  <c:v>43524</c:v>
                </c:pt>
                <c:pt idx="8">
                  <c:v>43555</c:v>
                </c:pt>
                <c:pt idx="9">
                  <c:v>43585</c:v>
                </c:pt>
                <c:pt idx="10">
                  <c:v>43616</c:v>
                </c:pt>
                <c:pt idx="11">
                  <c:v>43646</c:v>
                </c:pt>
                <c:pt idx="12">
                  <c:v>43677</c:v>
                </c:pt>
              </c:numCache>
            </c:numRef>
          </c:xVal>
          <c:yVal>
            <c:numRef>
              <c:f>'Oswald  16,6 kW'!$G$4:$G$16</c:f>
              <c:numCache>
                <c:formatCode>General</c:formatCode>
                <c:ptCount val="13"/>
                <c:pt idx="1">
                  <c:v>-0.10066245161290338</c:v>
                </c:pt>
                <c:pt idx="2">
                  <c:v>0.66422146666671367</c:v>
                </c:pt>
                <c:pt idx="3">
                  <c:v>8.3316903225784333E-2</c:v>
                </c:pt>
                <c:pt idx="4">
                  <c:v>-0.40149773333329897</c:v>
                </c:pt>
                <c:pt idx="5">
                  <c:v>0.22649462365577655</c:v>
                </c:pt>
                <c:pt idx="6">
                  <c:v>6.0903225806384853E-2</c:v>
                </c:pt>
                <c:pt idx="7">
                  <c:v>-0.14334109523805871</c:v>
                </c:pt>
                <c:pt idx="8">
                  <c:v>0.43802851612899207</c:v>
                </c:pt>
                <c:pt idx="9">
                  <c:v>-0.1139844444443856</c:v>
                </c:pt>
                <c:pt idx="10">
                  <c:v>0.23002795698915124</c:v>
                </c:pt>
                <c:pt idx="11">
                  <c:v>9.8720000000036556E-3</c:v>
                </c:pt>
                <c:pt idx="12">
                  <c:v>2.0851612903241001E-3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55AD-4356-A4FF-42B4C2843DD5}"/>
            </c:ext>
          </c:extLst>
        </c:ser>
        <c:axId val="149097472"/>
        <c:axId val="149119744"/>
      </c:scatterChart>
      <c:valAx>
        <c:axId val="149097472"/>
        <c:scaling>
          <c:orientation val="minMax"/>
        </c:scaling>
        <c:axPos val="b"/>
        <c:numFmt formatCode="dd/mm/yyyy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9119744"/>
        <c:crosses val="autoZero"/>
        <c:crossBetween val="midCat"/>
      </c:valAx>
      <c:valAx>
        <c:axId val="149119744"/>
        <c:scaling>
          <c:orientation val="minMax"/>
        </c:scaling>
        <c:axPos val="l"/>
        <c:majorGridlines/>
        <c:numFmt formatCode="General" sourceLinked="1"/>
        <c:tickLblPos val="nextTo"/>
        <c:crossAx val="14909747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Porovnání topného výkonu plynu s denostupni DS 17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'Oswald  16,6 kW'!$E$3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'Oswald  16,6 kW'!$A$4:$A$384</c:f>
              <c:numCache>
                <c:formatCode>dd/mm/yyyy</c:formatCode>
                <c:ptCount val="381"/>
                <c:pt idx="0">
                  <c:v>43312</c:v>
                </c:pt>
                <c:pt idx="1">
                  <c:v>43343</c:v>
                </c:pt>
                <c:pt idx="2">
                  <c:v>43373</c:v>
                </c:pt>
                <c:pt idx="3">
                  <c:v>43404</c:v>
                </c:pt>
                <c:pt idx="4">
                  <c:v>43434</c:v>
                </c:pt>
                <c:pt idx="5">
                  <c:v>43465</c:v>
                </c:pt>
                <c:pt idx="6">
                  <c:v>43496</c:v>
                </c:pt>
                <c:pt idx="7">
                  <c:v>43524</c:v>
                </c:pt>
                <c:pt idx="8">
                  <c:v>43555</c:v>
                </c:pt>
                <c:pt idx="9">
                  <c:v>43585</c:v>
                </c:pt>
                <c:pt idx="10">
                  <c:v>43616</c:v>
                </c:pt>
                <c:pt idx="11">
                  <c:v>43646</c:v>
                </c:pt>
                <c:pt idx="12">
                  <c:v>43677</c:v>
                </c:pt>
                <c:pt idx="15">
                  <c:v>43312</c:v>
                </c:pt>
                <c:pt idx="16">
                  <c:v>43313</c:v>
                </c:pt>
                <c:pt idx="17">
                  <c:v>43314</c:v>
                </c:pt>
                <c:pt idx="18">
                  <c:v>43315</c:v>
                </c:pt>
                <c:pt idx="19">
                  <c:v>43316</c:v>
                </c:pt>
                <c:pt idx="20">
                  <c:v>43317</c:v>
                </c:pt>
                <c:pt idx="21">
                  <c:v>43318</c:v>
                </c:pt>
                <c:pt idx="22">
                  <c:v>43319</c:v>
                </c:pt>
                <c:pt idx="23">
                  <c:v>43320</c:v>
                </c:pt>
                <c:pt idx="24">
                  <c:v>43321</c:v>
                </c:pt>
                <c:pt idx="25">
                  <c:v>43322</c:v>
                </c:pt>
                <c:pt idx="26">
                  <c:v>43323</c:v>
                </c:pt>
                <c:pt idx="27">
                  <c:v>43324</c:v>
                </c:pt>
                <c:pt idx="28">
                  <c:v>43325</c:v>
                </c:pt>
                <c:pt idx="29">
                  <c:v>43326</c:v>
                </c:pt>
                <c:pt idx="30">
                  <c:v>43327</c:v>
                </c:pt>
                <c:pt idx="31">
                  <c:v>43328</c:v>
                </c:pt>
                <c:pt idx="32">
                  <c:v>43329</c:v>
                </c:pt>
                <c:pt idx="33">
                  <c:v>43330</c:v>
                </c:pt>
                <c:pt idx="34">
                  <c:v>43331</c:v>
                </c:pt>
                <c:pt idx="35">
                  <c:v>43332</c:v>
                </c:pt>
                <c:pt idx="36">
                  <c:v>43333</c:v>
                </c:pt>
                <c:pt idx="37">
                  <c:v>43334</c:v>
                </c:pt>
                <c:pt idx="38">
                  <c:v>43335</c:v>
                </c:pt>
                <c:pt idx="39">
                  <c:v>43336</c:v>
                </c:pt>
                <c:pt idx="40">
                  <c:v>43337</c:v>
                </c:pt>
                <c:pt idx="41">
                  <c:v>43338</c:v>
                </c:pt>
                <c:pt idx="42">
                  <c:v>43339</c:v>
                </c:pt>
                <c:pt idx="43">
                  <c:v>43340</c:v>
                </c:pt>
                <c:pt idx="44">
                  <c:v>43341</c:v>
                </c:pt>
                <c:pt idx="45">
                  <c:v>43342</c:v>
                </c:pt>
                <c:pt idx="46">
                  <c:v>43343</c:v>
                </c:pt>
                <c:pt idx="47">
                  <c:v>43344</c:v>
                </c:pt>
                <c:pt idx="48">
                  <c:v>43345</c:v>
                </c:pt>
                <c:pt idx="49">
                  <c:v>43346</c:v>
                </c:pt>
                <c:pt idx="50">
                  <c:v>43347</c:v>
                </c:pt>
                <c:pt idx="51">
                  <c:v>43348</c:v>
                </c:pt>
                <c:pt idx="52">
                  <c:v>43349</c:v>
                </c:pt>
                <c:pt idx="53">
                  <c:v>43350</c:v>
                </c:pt>
                <c:pt idx="54">
                  <c:v>43351</c:v>
                </c:pt>
                <c:pt idx="55">
                  <c:v>43352</c:v>
                </c:pt>
                <c:pt idx="56">
                  <c:v>43353</c:v>
                </c:pt>
                <c:pt idx="57">
                  <c:v>43354</c:v>
                </c:pt>
                <c:pt idx="58">
                  <c:v>43355</c:v>
                </c:pt>
                <c:pt idx="59">
                  <c:v>43356</c:v>
                </c:pt>
                <c:pt idx="60">
                  <c:v>43357</c:v>
                </c:pt>
                <c:pt idx="61">
                  <c:v>43358</c:v>
                </c:pt>
                <c:pt idx="62">
                  <c:v>43359</c:v>
                </c:pt>
                <c:pt idx="63">
                  <c:v>43360</c:v>
                </c:pt>
                <c:pt idx="64">
                  <c:v>43361</c:v>
                </c:pt>
                <c:pt idx="65">
                  <c:v>43362</c:v>
                </c:pt>
                <c:pt idx="66">
                  <c:v>43363</c:v>
                </c:pt>
                <c:pt idx="67">
                  <c:v>43364</c:v>
                </c:pt>
                <c:pt idx="68">
                  <c:v>43365</c:v>
                </c:pt>
                <c:pt idx="69">
                  <c:v>43366</c:v>
                </c:pt>
                <c:pt idx="70">
                  <c:v>43367</c:v>
                </c:pt>
                <c:pt idx="71">
                  <c:v>43368</c:v>
                </c:pt>
                <c:pt idx="72">
                  <c:v>43369</c:v>
                </c:pt>
                <c:pt idx="73">
                  <c:v>43370</c:v>
                </c:pt>
                <c:pt idx="74">
                  <c:v>43371</c:v>
                </c:pt>
                <c:pt idx="75">
                  <c:v>43372</c:v>
                </c:pt>
                <c:pt idx="76">
                  <c:v>43373</c:v>
                </c:pt>
                <c:pt idx="77">
                  <c:v>43374</c:v>
                </c:pt>
                <c:pt idx="78">
                  <c:v>43375</c:v>
                </c:pt>
                <c:pt idx="79">
                  <c:v>43376</c:v>
                </c:pt>
                <c:pt idx="80">
                  <c:v>43377</c:v>
                </c:pt>
                <c:pt idx="81">
                  <c:v>43378</c:v>
                </c:pt>
                <c:pt idx="82">
                  <c:v>43379</c:v>
                </c:pt>
                <c:pt idx="83">
                  <c:v>43380</c:v>
                </c:pt>
                <c:pt idx="84">
                  <c:v>43381</c:v>
                </c:pt>
                <c:pt idx="85">
                  <c:v>43382</c:v>
                </c:pt>
                <c:pt idx="86">
                  <c:v>43383</c:v>
                </c:pt>
                <c:pt idx="87">
                  <c:v>43384</c:v>
                </c:pt>
                <c:pt idx="88">
                  <c:v>43385</c:v>
                </c:pt>
                <c:pt idx="89">
                  <c:v>43386</c:v>
                </c:pt>
                <c:pt idx="90">
                  <c:v>43387</c:v>
                </c:pt>
                <c:pt idx="91">
                  <c:v>43388</c:v>
                </c:pt>
                <c:pt idx="92">
                  <c:v>43389</c:v>
                </c:pt>
                <c:pt idx="93">
                  <c:v>43390</c:v>
                </c:pt>
                <c:pt idx="94">
                  <c:v>43391</c:v>
                </c:pt>
                <c:pt idx="95">
                  <c:v>43392</c:v>
                </c:pt>
                <c:pt idx="96">
                  <c:v>43393</c:v>
                </c:pt>
                <c:pt idx="97">
                  <c:v>43394</c:v>
                </c:pt>
                <c:pt idx="98">
                  <c:v>43395</c:v>
                </c:pt>
                <c:pt idx="99">
                  <c:v>43396</c:v>
                </c:pt>
                <c:pt idx="100">
                  <c:v>43397</c:v>
                </c:pt>
                <c:pt idx="101">
                  <c:v>43398</c:v>
                </c:pt>
                <c:pt idx="102">
                  <c:v>43399</c:v>
                </c:pt>
                <c:pt idx="103">
                  <c:v>43400</c:v>
                </c:pt>
                <c:pt idx="104">
                  <c:v>43401</c:v>
                </c:pt>
                <c:pt idx="105">
                  <c:v>43402</c:v>
                </c:pt>
                <c:pt idx="106">
                  <c:v>43403</c:v>
                </c:pt>
                <c:pt idx="107">
                  <c:v>43404</c:v>
                </c:pt>
                <c:pt idx="108">
                  <c:v>43405</c:v>
                </c:pt>
                <c:pt idx="109">
                  <c:v>43406</c:v>
                </c:pt>
                <c:pt idx="110">
                  <c:v>43407</c:v>
                </c:pt>
                <c:pt idx="111">
                  <c:v>43408</c:v>
                </c:pt>
                <c:pt idx="112">
                  <c:v>43409</c:v>
                </c:pt>
                <c:pt idx="113">
                  <c:v>43410</c:v>
                </c:pt>
                <c:pt idx="114">
                  <c:v>43411</c:v>
                </c:pt>
                <c:pt idx="115">
                  <c:v>43412</c:v>
                </c:pt>
                <c:pt idx="116">
                  <c:v>43413</c:v>
                </c:pt>
                <c:pt idx="117">
                  <c:v>43414</c:v>
                </c:pt>
                <c:pt idx="118">
                  <c:v>43415</c:v>
                </c:pt>
                <c:pt idx="119">
                  <c:v>43416</c:v>
                </c:pt>
                <c:pt idx="120">
                  <c:v>43417</c:v>
                </c:pt>
                <c:pt idx="121">
                  <c:v>43418</c:v>
                </c:pt>
                <c:pt idx="122">
                  <c:v>43419</c:v>
                </c:pt>
                <c:pt idx="123">
                  <c:v>43420</c:v>
                </c:pt>
                <c:pt idx="124">
                  <c:v>43421</c:v>
                </c:pt>
                <c:pt idx="125">
                  <c:v>43422</c:v>
                </c:pt>
                <c:pt idx="126">
                  <c:v>43423</c:v>
                </c:pt>
                <c:pt idx="127">
                  <c:v>43424</c:v>
                </c:pt>
                <c:pt idx="128">
                  <c:v>43425</c:v>
                </c:pt>
                <c:pt idx="129">
                  <c:v>43426</c:v>
                </c:pt>
                <c:pt idx="130">
                  <c:v>43427</c:v>
                </c:pt>
                <c:pt idx="131">
                  <c:v>43428</c:v>
                </c:pt>
                <c:pt idx="132">
                  <c:v>43429</c:v>
                </c:pt>
                <c:pt idx="133">
                  <c:v>43430</c:v>
                </c:pt>
                <c:pt idx="134">
                  <c:v>43431</c:v>
                </c:pt>
                <c:pt idx="135">
                  <c:v>43432</c:v>
                </c:pt>
                <c:pt idx="136">
                  <c:v>43433</c:v>
                </c:pt>
                <c:pt idx="137">
                  <c:v>43434</c:v>
                </c:pt>
                <c:pt idx="138">
                  <c:v>43435</c:v>
                </c:pt>
                <c:pt idx="139">
                  <c:v>43436</c:v>
                </c:pt>
                <c:pt idx="140">
                  <c:v>43437</c:v>
                </c:pt>
                <c:pt idx="141">
                  <c:v>43438</c:v>
                </c:pt>
                <c:pt idx="142">
                  <c:v>43439</c:v>
                </c:pt>
                <c:pt idx="143">
                  <c:v>43440</c:v>
                </c:pt>
                <c:pt idx="144">
                  <c:v>43441</c:v>
                </c:pt>
                <c:pt idx="145">
                  <c:v>43442</c:v>
                </c:pt>
                <c:pt idx="146">
                  <c:v>43443</c:v>
                </c:pt>
                <c:pt idx="147">
                  <c:v>43444</c:v>
                </c:pt>
                <c:pt idx="148">
                  <c:v>43445</c:v>
                </c:pt>
                <c:pt idx="149">
                  <c:v>43446</c:v>
                </c:pt>
                <c:pt idx="150">
                  <c:v>43447</c:v>
                </c:pt>
                <c:pt idx="151">
                  <c:v>43448</c:v>
                </c:pt>
                <c:pt idx="152">
                  <c:v>43449</c:v>
                </c:pt>
                <c:pt idx="153">
                  <c:v>43450</c:v>
                </c:pt>
                <c:pt idx="154">
                  <c:v>43451</c:v>
                </c:pt>
                <c:pt idx="155">
                  <c:v>43452</c:v>
                </c:pt>
                <c:pt idx="156">
                  <c:v>43453</c:v>
                </c:pt>
                <c:pt idx="157">
                  <c:v>43454</c:v>
                </c:pt>
                <c:pt idx="158">
                  <c:v>43455</c:v>
                </c:pt>
                <c:pt idx="159">
                  <c:v>43456</c:v>
                </c:pt>
                <c:pt idx="160">
                  <c:v>43457</c:v>
                </c:pt>
                <c:pt idx="161">
                  <c:v>43458</c:v>
                </c:pt>
                <c:pt idx="162">
                  <c:v>43459</c:v>
                </c:pt>
                <c:pt idx="163">
                  <c:v>43460</c:v>
                </c:pt>
                <c:pt idx="164">
                  <c:v>43461</c:v>
                </c:pt>
                <c:pt idx="165">
                  <c:v>43462</c:v>
                </c:pt>
                <c:pt idx="166">
                  <c:v>43463</c:v>
                </c:pt>
                <c:pt idx="167">
                  <c:v>43464</c:v>
                </c:pt>
                <c:pt idx="168">
                  <c:v>43465</c:v>
                </c:pt>
                <c:pt idx="169">
                  <c:v>43466</c:v>
                </c:pt>
                <c:pt idx="170">
                  <c:v>43467</c:v>
                </c:pt>
                <c:pt idx="171">
                  <c:v>43468</c:v>
                </c:pt>
                <c:pt idx="172">
                  <c:v>43469</c:v>
                </c:pt>
                <c:pt idx="173">
                  <c:v>43470</c:v>
                </c:pt>
                <c:pt idx="174">
                  <c:v>43471</c:v>
                </c:pt>
                <c:pt idx="175">
                  <c:v>43472</c:v>
                </c:pt>
                <c:pt idx="176">
                  <c:v>43473</c:v>
                </c:pt>
                <c:pt idx="177">
                  <c:v>43474</c:v>
                </c:pt>
                <c:pt idx="178">
                  <c:v>43475</c:v>
                </c:pt>
                <c:pt idx="179">
                  <c:v>43476</c:v>
                </c:pt>
                <c:pt idx="180">
                  <c:v>43477</c:v>
                </c:pt>
                <c:pt idx="181">
                  <c:v>43478</c:v>
                </c:pt>
                <c:pt idx="182">
                  <c:v>43479</c:v>
                </c:pt>
                <c:pt idx="183">
                  <c:v>43480</c:v>
                </c:pt>
                <c:pt idx="184">
                  <c:v>43481</c:v>
                </c:pt>
                <c:pt idx="185">
                  <c:v>43482</c:v>
                </c:pt>
                <c:pt idx="186">
                  <c:v>43483</c:v>
                </c:pt>
                <c:pt idx="187">
                  <c:v>43484</c:v>
                </c:pt>
                <c:pt idx="188">
                  <c:v>43485</c:v>
                </c:pt>
                <c:pt idx="189">
                  <c:v>43486</c:v>
                </c:pt>
                <c:pt idx="190">
                  <c:v>43487</c:v>
                </c:pt>
                <c:pt idx="191">
                  <c:v>43488</c:v>
                </c:pt>
                <c:pt idx="192">
                  <c:v>43489</c:v>
                </c:pt>
                <c:pt idx="193">
                  <c:v>43490</c:v>
                </c:pt>
                <c:pt idx="194">
                  <c:v>43491</c:v>
                </c:pt>
                <c:pt idx="195">
                  <c:v>43492</c:v>
                </c:pt>
                <c:pt idx="196">
                  <c:v>43493</c:v>
                </c:pt>
                <c:pt idx="197">
                  <c:v>43494</c:v>
                </c:pt>
                <c:pt idx="198">
                  <c:v>43495</c:v>
                </c:pt>
                <c:pt idx="199">
                  <c:v>43496</c:v>
                </c:pt>
                <c:pt idx="200">
                  <c:v>43497</c:v>
                </c:pt>
                <c:pt idx="201">
                  <c:v>43498</c:v>
                </c:pt>
                <c:pt idx="202">
                  <c:v>43499</c:v>
                </c:pt>
                <c:pt idx="203">
                  <c:v>43500</c:v>
                </c:pt>
                <c:pt idx="204">
                  <c:v>43501</c:v>
                </c:pt>
                <c:pt idx="205">
                  <c:v>43502</c:v>
                </c:pt>
                <c:pt idx="206">
                  <c:v>43503</c:v>
                </c:pt>
                <c:pt idx="207">
                  <c:v>43504</c:v>
                </c:pt>
                <c:pt idx="208">
                  <c:v>43505</c:v>
                </c:pt>
                <c:pt idx="209">
                  <c:v>43506</c:v>
                </c:pt>
                <c:pt idx="210">
                  <c:v>43507</c:v>
                </c:pt>
                <c:pt idx="211">
                  <c:v>43508</c:v>
                </c:pt>
                <c:pt idx="212">
                  <c:v>43509</c:v>
                </c:pt>
                <c:pt idx="213">
                  <c:v>43510</c:v>
                </c:pt>
                <c:pt idx="214">
                  <c:v>43511</c:v>
                </c:pt>
                <c:pt idx="215">
                  <c:v>43512</c:v>
                </c:pt>
                <c:pt idx="216">
                  <c:v>43513</c:v>
                </c:pt>
                <c:pt idx="217">
                  <c:v>43514</c:v>
                </c:pt>
                <c:pt idx="218">
                  <c:v>43515</c:v>
                </c:pt>
                <c:pt idx="219">
                  <c:v>43516</c:v>
                </c:pt>
                <c:pt idx="220">
                  <c:v>43517</c:v>
                </c:pt>
                <c:pt idx="221">
                  <c:v>43518</c:v>
                </c:pt>
                <c:pt idx="222">
                  <c:v>43519</c:v>
                </c:pt>
                <c:pt idx="223">
                  <c:v>43520</c:v>
                </c:pt>
                <c:pt idx="224">
                  <c:v>43521</c:v>
                </c:pt>
                <c:pt idx="225">
                  <c:v>43522</c:v>
                </c:pt>
                <c:pt idx="226">
                  <c:v>43523</c:v>
                </c:pt>
                <c:pt idx="227">
                  <c:v>43524</c:v>
                </c:pt>
                <c:pt idx="228">
                  <c:v>43525</c:v>
                </c:pt>
                <c:pt idx="229">
                  <c:v>43526</c:v>
                </c:pt>
                <c:pt idx="230">
                  <c:v>43527</c:v>
                </c:pt>
                <c:pt idx="231">
                  <c:v>43528</c:v>
                </c:pt>
                <c:pt idx="232">
                  <c:v>43529</c:v>
                </c:pt>
                <c:pt idx="233">
                  <c:v>43530</c:v>
                </c:pt>
                <c:pt idx="234">
                  <c:v>43531</c:v>
                </c:pt>
                <c:pt idx="235">
                  <c:v>43532</c:v>
                </c:pt>
                <c:pt idx="236">
                  <c:v>43533</c:v>
                </c:pt>
                <c:pt idx="237">
                  <c:v>43534</c:v>
                </c:pt>
                <c:pt idx="238">
                  <c:v>43535</c:v>
                </c:pt>
                <c:pt idx="239">
                  <c:v>43536</c:v>
                </c:pt>
                <c:pt idx="240">
                  <c:v>43537</c:v>
                </c:pt>
                <c:pt idx="241">
                  <c:v>43538</c:v>
                </c:pt>
                <c:pt idx="242">
                  <c:v>43539</c:v>
                </c:pt>
                <c:pt idx="243">
                  <c:v>43540</c:v>
                </c:pt>
                <c:pt idx="244">
                  <c:v>43541</c:v>
                </c:pt>
                <c:pt idx="245">
                  <c:v>43542</c:v>
                </c:pt>
                <c:pt idx="246">
                  <c:v>43543</c:v>
                </c:pt>
                <c:pt idx="247">
                  <c:v>43544</c:v>
                </c:pt>
                <c:pt idx="248">
                  <c:v>43545</c:v>
                </c:pt>
                <c:pt idx="249">
                  <c:v>43546</c:v>
                </c:pt>
                <c:pt idx="250">
                  <c:v>43547</c:v>
                </c:pt>
                <c:pt idx="251">
                  <c:v>43548</c:v>
                </c:pt>
                <c:pt idx="252">
                  <c:v>43549</c:v>
                </c:pt>
                <c:pt idx="253">
                  <c:v>43550</c:v>
                </c:pt>
                <c:pt idx="254">
                  <c:v>43551</c:v>
                </c:pt>
                <c:pt idx="255">
                  <c:v>43552</c:v>
                </c:pt>
                <c:pt idx="256">
                  <c:v>43553</c:v>
                </c:pt>
                <c:pt idx="257">
                  <c:v>43554</c:v>
                </c:pt>
                <c:pt idx="258">
                  <c:v>43555</c:v>
                </c:pt>
                <c:pt idx="259">
                  <c:v>43556</c:v>
                </c:pt>
                <c:pt idx="260">
                  <c:v>43557</c:v>
                </c:pt>
                <c:pt idx="261">
                  <c:v>43558</c:v>
                </c:pt>
                <c:pt idx="262">
                  <c:v>43559</c:v>
                </c:pt>
                <c:pt idx="263">
                  <c:v>43560</c:v>
                </c:pt>
                <c:pt idx="264">
                  <c:v>43561</c:v>
                </c:pt>
                <c:pt idx="265">
                  <c:v>43562</c:v>
                </c:pt>
                <c:pt idx="266">
                  <c:v>43563</c:v>
                </c:pt>
                <c:pt idx="267">
                  <c:v>43564</c:v>
                </c:pt>
                <c:pt idx="268">
                  <c:v>43565</c:v>
                </c:pt>
                <c:pt idx="269">
                  <c:v>43566</c:v>
                </c:pt>
                <c:pt idx="270">
                  <c:v>43567</c:v>
                </c:pt>
                <c:pt idx="271">
                  <c:v>43568</c:v>
                </c:pt>
                <c:pt idx="272">
                  <c:v>43569</c:v>
                </c:pt>
                <c:pt idx="273">
                  <c:v>43570</c:v>
                </c:pt>
                <c:pt idx="274">
                  <c:v>43571</c:v>
                </c:pt>
                <c:pt idx="275">
                  <c:v>43572</c:v>
                </c:pt>
                <c:pt idx="276">
                  <c:v>43573</c:v>
                </c:pt>
                <c:pt idx="277">
                  <c:v>43574</c:v>
                </c:pt>
                <c:pt idx="278">
                  <c:v>43575</c:v>
                </c:pt>
                <c:pt idx="279">
                  <c:v>43576</c:v>
                </c:pt>
                <c:pt idx="280">
                  <c:v>43577</c:v>
                </c:pt>
                <c:pt idx="281">
                  <c:v>43578</c:v>
                </c:pt>
                <c:pt idx="282">
                  <c:v>43579</c:v>
                </c:pt>
                <c:pt idx="283">
                  <c:v>43580</c:v>
                </c:pt>
                <c:pt idx="284">
                  <c:v>43581</c:v>
                </c:pt>
                <c:pt idx="285">
                  <c:v>43582</c:v>
                </c:pt>
                <c:pt idx="286">
                  <c:v>43583</c:v>
                </c:pt>
                <c:pt idx="287">
                  <c:v>43584</c:v>
                </c:pt>
                <c:pt idx="288">
                  <c:v>43585</c:v>
                </c:pt>
                <c:pt idx="289">
                  <c:v>43586</c:v>
                </c:pt>
                <c:pt idx="290">
                  <c:v>43587</c:v>
                </c:pt>
                <c:pt idx="291">
                  <c:v>43588</c:v>
                </c:pt>
                <c:pt idx="292">
                  <c:v>43589</c:v>
                </c:pt>
                <c:pt idx="293">
                  <c:v>43590</c:v>
                </c:pt>
                <c:pt idx="294">
                  <c:v>43591</c:v>
                </c:pt>
                <c:pt idx="295">
                  <c:v>43592</c:v>
                </c:pt>
                <c:pt idx="296">
                  <c:v>43593</c:v>
                </c:pt>
                <c:pt idx="297">
                  <c:v>43594</c:v>
                </c:pt>
                <c:pt idx="298">
                  <c:v>43595</c:v>
                </c:pt>
                <c:pt idx="299">
                  <c:v>43596</c:v>
                </c:pt>
                <c:pt idx="300">
                  <c:v>43597</c:v>
                </c:pt>
                <c:pt idx="301">
                  <c:v>43598</c:v>
                </c:pt>
                <c:pt idx="302">
                  <c:v>43599</c:v>
                </c:pt>
                <c:pt idx="303">
                  <c:v>43600</c:v>
                </c:pt>
                <c:pt idx="304">
                  <c:v>43601</c:v>
                </c:pt>
                <c:pt idx="305">
                  <c:v>43602</c:v>
                </c:pt>
                <c:pt idx="306">
                  <c:v>43603</c:v>
                </c:pt>
                <c:pt idx="307">
                  <c:v>43604</c:v>
                </c:pt>
                <c:pt idx="308">
                  <c:v>43605</c:v>
                </c:pt>
                <c:pt idx="309">
                  <c:v>43606</c:v>
                </c:pt>
                <c:pt idx="310">
                  <c:v>43607</c:v>
                </c:pt>
                <c:pt idx="311">
                  <c:v>43608</c:v>
                </c:pt>
                <c:pt idx="312">
                  <c:v>43609</c:v>
                </c:pt>
                <c:pt idx="313">
                  <c:v>43610</c:v>
                </c:pt>
                <c:pt idx="314">
                  <c:v>43611</c:v>
                </c:pt>
                <c:pt idx="315">
                  <c:v>43612</c:v>
                </c:pt>
                <c:pt idx="316">
                  <c:v>43613</c:v>
                </c:pt>
                <c:pt idx="317">
                  <c:v>43614</c:v>
                </c:pt>
                <c:pt idx="318">
                  <c:v>43615</c:v>
                </c:pt>
                <c:pt idx="319">
                  <c:v>43616</c:v>
                </c:pt>
                <c:pt idx="320">
                  <c:v>43617</c:v>
                </c:pt>
                <c:pt idx="321">
                  <c:v>43618</c:v>
                </c:pt>
                <c:pt idx="322">
                  <c:v>43619</c:v>
                </c:pt>
                <c:pt idx="323">
                  <c:v>43620</c:v>
                </c:pt>
                <c:pt idx="324">
                  <c:v>43621</c:v>
                </c:pt>
                <c:pt idx="325">
                  <c:v>43622</c:v>
                </c:pt>
                <c:pt idx="326">
                  <c:v>43623</c:v>
                </c:pt>
                <c:pt idx="327">
                  <c:v>43624</c:v>
                </c:pt>
                <c:pt idx="328">
                  <c:v>43625</c:v>
                </c:pt>
                <c:pt idx="329">
                  <c:v>43626</c:v>
                </c:pt>
                <c:pt idx="330">
                  <c:v>43627</c:v>
                </c:pt>
                <c:pt idx="331">
                  <c:v>43628</c:v>
                </c:pt>
                <c:pt idx="332">
                  <c:v>43629</c:v>
                </c:pt>
                <c:pt idx="333">
                  <c:v>43630</c:v>
                </c:pt>
                <c:pt idx="334">
                  <c:v>43631</c:v>
                </c:pt>
                <c:pt idx="335">
                  <c:v>43632</c:v>
                </c:pt>
                <c:pt idx="336">
                  <c:v>43633</c:v>
                </c:pt>
                <c:pt idx="337">
                  <c:v>43634</c:v>
                </c:pt>
                <c:pt idx="338">
                  <c:v>43635</c:v>
                </c:pt>
                <c:pt idx="339">
                  <c:v>43636</c:v>
                </c:pt>
                <c:pt idx="340">
                  <c:v>43637</c:v>
                </c:pt>
                <c:pt idx="341">
                  <c:v>43638</c:v>
                </c:pt>
                <c:pt idx="342">
                  <c:v>43639</c:v>
                </c:pt>
                <c:pt idx="343">
                  <c:v>43640</c:v>
                </c:pt>
                <c:pt idx="344">
                  <c:v>43641</c:v>
                </c:pt>
                <c:pt idx="345">
                  <c:v>43642</c:v>
                </c:pt>
                <c:pt idx="346">
                  <c:v>43643</c:v>
                </c:pt>
                <c:pt idx="347">
                  <c:v>43644</c:v>
                </c:pt>
                <c:pt idx="348">
                  <c:v>43645</c:v>
                </c:pt>
                <c:pt idx="349">
                  <c:v>43646</c:v>
                </c:pt>
                <c:pt idx="350">
                  <c:v>43647</c:v>
                </c:pt>
                <c:pt idx="351">
                  <c:v>43648</c:v>
                </c:pt>
                <c:pt idx="352">
                  <c:v>43649</c:v>
                </c:pt>
                <c:pt idx="353">
                  <c:v>43650</c:v>
                </c:pt>
                <c:pt idx="354">
                  <c:v>43651</c:v>
                </c:pt>
                <c:pt idx="355">
                  <c:v>43652</c:v>
                </c:pt>
                <c:pt idx="356">
                  <c:v>43653</c:v>
                </c:pt>
                <c:pt idx="357">
                  <c:v>43654</c:v>
                </c:pt>
                <c:pt idx="358">
                  <c:v>43655</c:v>
                </c:pt>
                <c:pt idx="359">
                  <c:v>43656</c:v>
                </c:pt>
                <c:pt idx="360">
                  <c:v>43657</c:v>
                </c:pt>
                <c:pt idx="361">
                  <c:v>43658</c:v>
                </c:pt>
                <c:pt idx="362">
                  <c:v>43659</c:v>
                </c:pt>
                <c:pt idx="363">
                  <c:v>43660</c:v>
                </c:pt>
                <c:pt idx="364">
                  <c:v>43661</c:v>
                </c:pt>
                <c:pt idx="365">
                  <c:v>43662</c:v>
                </c:pt>
                <c:pt idx="366">
                  <c:v>43663</c:v>
                </c:pt>
                <c:pt idx="367">
                  <c:v>43664</c:v>
                </c:pt>
                <c:pt idx="368">
                  <c:v>43665</c:v>
                </c:pt>
                <c:pt idx="369">
                  <c:v>43666</c:v>
                </c:pt>
                <c:pt idx="370">
                  <c:v>43667</c:v>
                </c:pt>
                <c:pt idx="371">
                  <c:v>43668</c:v>
                </c:pt>
                <c:pt idx="372">
                  <c:v>43669</c:v>
                </c:pt>
                <c:pt idx="373">
                  <c:v>43670</c:v>
                </c:pt>
                <c:pt idx="374">
                  <c:v>43671</c:v>
                </c:pt>
                <c:pt idx="375">
                  <c:v>43672</c:v>
                </c:pt>
                <c:pt idx="376">
                  <c:v>43673</c:v>
                </c:pt>
                <c:pt idx="377">
                  <c:v>43674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</c:numCache>
            </c:numRef>
          </c:xVal>
          <c:yVal>
            <c:numRef>
              <c:f>'Oswald  16,6 kW'!$E$4:$E$384</c:f>
              <c:numCache>
                <c:formatCode>General</c:formatCode>
                <c:ptCount val="381"/>
                <c:pt idx="1">
                  <c:v>-0.10066245161290338</c:v>
                </c:pt>
                <c:pt idx="2">
                  <c:v>1.0570881333333337</c:v>
                </c:pt>
                <c:pt idx="3">
                  <c:v>3.4354459354838691</c:v>
                </c:pt>
                <c:pt idx="4">
                  <c:v>6.4321689333333341</c:v>
                </c:pt>
                <c:pt idx="5">
                  <c:v>7.9838709677419351</c:v>
                </c:pt>
                <c:pt idx="6">
                  <c:v>9.3783225806451593</c:v>
                </c:pt>
                <c:pt idx="7">
                  <c:v>7.7218970000000011</c:v>
                </c:pt>
                <c:pt idx="8">
                  <c:v>5.7500285161290314</c:v>
                </c:pt>
                <c:pt idx="9">
                  <c:v>3.357260000000005</c:v>
                </c:pt>
                <c:pt idx="10">
                  <c:v>2.9949096774193498</c:v>
                </c:pt>
                <c:pt idx="11">
                  <c:v>9.8720000000036556E-3</c:v>
                </c:pt>
                <c:pt idx="12">
                  <c:v>2.0851612903241001E-3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BA5-4039-A20B-2724FB81D02B}"/>
            </c:ext>
          </c:extLst>
        </c:ser>
        <c:ser>
          <c:idx val="1"/>
          <c:order val="1"/>
          <c:tx>
            <c:strRef>
              <c:f>'Oswald  16,6 kW'!$F$3</c:f>
              <c:strCache>
                <c:ptCount val="1"/>
                <c:pt idx="0">
                  <c:v>TZ (kW)</c:v>
                </c:pt>
              </c:strCache>
            </c:strRef>
          </c:tx>
          <c:marker>
            <c:symbol val="none"/>
          </c:marker>
          <c:xVal>
            <c:numRef>
              <c:f>'Oswald  16,6 kW'!$A$4:$A$384</c:f>
              <c:numCache>
                <c:formatCode>dd/mm/yyyy</c:formatCode>
                <c:ptCount val="381"/>
                <c:pt idx="0">
                  <c:v>43312</c:v>
                </c:pt>
                <c:pt idx="1">
                  <c:v>43343</c:v>
                </c:pt>
                <c:pt idx="2">
                  <c:v>43373</c:v>
                </c:pt>
                <c:pt idx="3">
                  <c:v>43404</c:v>
                </c:pt>
                <c:pt idx="4">
                  <c:v>43434</c:v>
                </c:pt>
                <c:pt idx="5">
                  <c:v>43465</c:v>
                </c:pt>
                <c:pt idx="6">
                  <c:v>43496</c:v>
                </c:pt>
                <c:pt idx="7">
                  <c:v>43524</c:v>
                </c:pt>
                <c:pt idx="8">
                  <c:v>43555</c:v>
                </c:pt>
                <c:pt idx="9">
                  <c:v>43585</c:v>
                </c:pt>
                <c:pt idx="10">
                  <c:v>43616</c:v>
                </c:pt>
                <c:pt idx="11">
                  <c:v>43646</c:v>
                </c:pt>
                <c:pt idx="12">
                  <c:v>43677</c:v>
                </c:pt>
                <c:pt idx="15">
                  <c:v>43312</c:v>
                </c:pt>
                <c:pt idx="16">
                  <c:v>43313</c:v>
                </c:pt>
                <c:pt idx="17">
                  <c:v>43314</c:v>
                </c:pt>
                <c:pt idx="18">
                  <c:v>43315</c:v>
                </c:pt>
                <c:pt idx="19">
                  <c:v>43316</c:v>
                </c:pt>
                <c:pt idx="20">
                  <c:v>43317</c:v>
                </c:pt>
                <c:pt idx="21">
                  <c:v>43318</c:v>
                </c:pt>
                <c:pt idx="22">
                  <c:v>43319</c:v>
                </c:pt>
                <c:pt idx="23">
                  <c:v>43320</c:v>
                </c:pt>
                <c:pt idx="24">
                  <c:v>43321</c:v>
                </c:pt>
                <c:pt idx="25">
                  <c:v>43322</c:v>
                </c:pt>
                <c:pt idx="26">
                  <c:v>43323</c:v>
                </c:pt>
                <c:pt idx="27">
                  <c:v>43324</c:v>
                </c:pt>
                <c:pt idx="28">
                  <c:v>43325</c:v>
                </c:pt>
                <c:pt idx="29">
                  <c:v>43326</c:v>
                </c:pt>
                <c:pt idx="30">
                  <c:v>43327</c:v>
                </c:pt>
                <c:pt idx="31">
                  <c:v>43328</c:v>
                </c:pt>
                <c:pt idx="32">
                  <c:v>43329</c:v>
                </c:pt>
                <c:pt idx="33">
                  <c:v>43330</c:v>
                </c:pt>
                <c:pt idx="34">
                  <c:v>43331</c:v>
                </c:pt>
                <c:pt idx="35">
                  <c:v>43332</c:v>
                </c:pt>
                <c:pt idx="36">
                  <c:v>43333</c:v>
                </c:pt>
                <c:pt idx="37">
                  <c:v>43334</c:v>
                </c:pt>
                <c:pt idx="38">
                  <c:v>43335</c:v>
                </c:pt>
                <c:pt idx="39">
                  <c:v>43336</c:v>
                </c:pt>
                <c:pt idx="40">
                  <c:v>43337</c:v>
                </c:pt>
                <c:pt idx="41">
                  <c:v>43338</c:v>
                </c:pt>
                <c:pt idx="42">
                  <c:v>43339</c:v>
                </c:pt>
                <c:pt idx="43">
                  <c:v>43340</c:v>
                </c:pt>
                <c:pt idx="44">
                  <c:v>43341</c:v>
                </c:pt>
                <c:pt idx="45">
                  <c:v>43342</c:v>
                </c:pt>
                <c:pt idx="46">
                  <c:v>43343</c:v>
                </c:pt>
                <c:pt idx="47">
                  <c:v>43344</c:v>
                </c:pt>
                <c:pt idx="48">
                  <c:v>43345</c:v>
                </c:pt>
                <c:pt idx="49">
                  <c:v>43346</c:v>
                </c:pt>
                <c:pt idx="50">
                  <c:v>43347</c:v>
                </c:pt>
                <c:pt idx="51">
                  <c:v>43348</c:v>
                </c:pt>
                <c:pt idx="52">
                  <c:v>43349</c:v>
                </c:pt>
                <c:pt idx="53">
                  <c:v>43350</c:v>
                </c:pt>
                <c:pt idx="54">
                  <c:v>43351</c:v>
                </c:pt>
                <c:pt idx="55">
                  <c:v>43352</c:v>
                </c:pt>
                <c:pt idx="56">
                  <c:v>43353</c:v>
                </c:pt>
                <c:pt idx="57">
                  <c:v>43354</c:v>
                </c:pt>
                <c:pt idx="58">
                  <c:v>43355</c:v>
                </c:pt>
                <c:pt idx="59">
                  <c:v>43356</c:v>
                </c:pt>
                <c:pt idx="60">
                  <c:v>43357</c:v>
                </c:pt>
                <c:pt idx="61">
                  <c:v>43358</c:v>
                </c:pt>
                <c:pt idx="62">
                  <c:v>43359</c:v>
                </c:pt>
                <c:pt idx="63">
                  <c:v>43360</c:v>
                </c:pt>
                <c:pt idx="64">
                  <c:v>43361</c:v>
                </c:pt>
                <c:pt idx="65">
                  <c:v>43362</c:v>
                </c:pt>
                <c:pt idx="66">
                  <c:v>43363</c:v>
                </c:pt>
                <c:pt idx="67">
                  <c:v>43364</c:v>
                </c:pt>
                <c:pt idx="68">
                  <c:v>43365</c:v>
                </c:pt>
                <c:pt idx="69">
                  <c:v>43366</c:v>
                </c:pt>
                <c:pt idx="70">
                  <c:v>43367</c:v>
                </c:pt>
                <c:pt idx="71">
                  <c:v>43368</c:v>
                </c:pt>
                <c:pt idx="72">
                  <c:v>43369</c:v>
                </c:pt>
                <c:pt idx="73">
                  <c:v>43370</c:v>
                </c:pt>
                <c:pt idx="74">
                  <c:v>43371</c:v>
                </c:pt>
                <c:pt idx="75">
                  <c:v>43372</c:v>
                </c:pt>
                <c:pt idx="76">
                  <c:v>43373</c:v>
                </c:pt>
                <c:pt idx="77">
                  <c:v>43374</c:v>
                </c:pt>
                <c:pt idx="78">
                  <c:v>43375</c:v>
                </c:pt>
                <c:pt idx="79">
                  <c:v>43376</c:v>
                </c:pt>
                <c:pt idx="80">
                  <c:v>43377</c:v>
                </c:pt>
                <c:pt idx="81">
                  <c:v>43378</c:v>
                </c:pt>
                <c:pt idx="82">
                  <c:v>43379</c:v>
                </c:pt>
                <c:pt idx="83">
                  <c:v>43380</c:v>
                </c:pt>
                <c:pt idx="84">
                  <c:v>43381</c:v>
                </c:pt>
                <c:pt idx="85">
                  <c:v>43382</c:v>
                </c:pt>
                <c:pt idx="86">
                  <c:v>43383</c:v>
                </c:pt>
                <c:pt idx="87">
                  <c:v>43384</c:v>
                </c:pt>
                <c:pt idx="88">
                  <c:v>43385</c:v>
                </c:pt>
                <c:pt idx="89">
                  <c:v>43386</c:v>
                </c:pt>
                <c:pt idx="90">
                  <c:v>43387</c:v>
                </c:pt>
                <c:pt idx="91">
                  <c:v>43388</c:v>
                </c:pt>
                <c:pt idx="92">
                  <c:v>43389</c:v>
                </c:pt>
                <c:pt idx="93">
                  <c:v>43390</c:v>
                </c:pt>
                <c:pt idx="94">
                  <c:v>43391</c:v>
                </c:pt>
                <c:pt idx="95">
                  <c:v>43392</c:v>
                </c:pt>
                <c:pt idx="96">
                  <c:v>43393</c:v>
                </c:pt>
                <c:pt idx="97">
                  <c:v>43394</c:v>
                </c:pt>
                <c:pt idx="98">
                  <c:v>43395</c:v>
                </c:pt>
                <c:pt idx="99">
                  <c:v>43396</c:v>
                </c:pt>
                <c:pt idx="100">
                  <c:v>43397</c:v>
                </c:pt>
                <c:pt idx="101">
                  <c:v>43398</c:v>
                </c:pt>
                <c:pt idx="102">
                  <c:v>43399</c:v>
                </c:pt>
                <c:pt idx="103">
                  <c:v>43400</c:v>
                </c:pt>
                <c:pt idx="104">
                  <c:v>43401</c:v>
                </c:pt>
                <c:pt idx="105">
                  <c:v>43402</c:v>
                </c:pt>
                <c:pt idx="106">
                  <c:v>43403</c:v>
                </c:pt>
                <c:pt idx="107">
                  <c:v>43404</c:v>
                </c:pt>
                <c:pt idx="108">
                  <c:v>43405</c:v>
                </c:pt>
                <c:pt idx="109">
                  <c:v>43406</c:v>
                </c:pt>
                <c:pt idx="110">
                  <c:v>43407</c:v>
                </c:pt>
                <c:pt idx="111">
                  <c:v>43408</c:v>
                </c:pt>
                <c:pt idx="112">
                  <c:v>43409</c:v>
                </c:pt>
                <c:pt idx="113">
                  <c:v>43410</c:v>
                </c:pt>
                <c:pt idx="114">
                  <c:v>43411</c:v>
                </c:pt>
                <c:pt idx="115">
                  <c:v>43412</c:v>
                </c:pt>
                <c:pt idx="116">
                  <c:v>43413</c:v>
                </c:pt>
                <c:pt idx="117">
                  <c:v>43414</c:v>
                </c:pt>
                <c:pt idx="118">
                  <c:v>43415</c:v>
                </c:pt>
                <c:pt idx="119">
                  <c:v>43416</c:v>
                </c:pt>
                <c:pt idx="120">
                  <c:v>43417</c:v>
                </c:pt>
                <c:pt idx="121">
                  <c:v>43418</c:v>
                </c:pt>
                <c:pt idx="122">
                  <c:v>43419</c:v>
                </c:pt>
                <c:pt idx="123">
                  <c:v>43420</c:v>
                </c:pt>
                <c:pt idx="124">
                  <c:v>43421</c:v>
                </c:pt>
                <c:pt idx="125">
                  <c:v>43422</c:v>
                </c:pt>
                <c:pt idx="126">
                  <c:v>43423</c:v>
                </c:pt>
                <c:pt idx="127">
                  <c:v>43424</c:v>
                </c:pt>
                <c:pt idx="128">
                  <c:v>43425</c:v>
                </c:pt>
                <c:pt idx="129">
                  <c:v>43426</c:v>
                </c:pt>
                <c:pt idx="130">
                  <c:v>43427</c:v>
                </c:pt>
                <c:pt idx="131">
                  <c:v>43428</c:v>
                </c:pt>
                <c:pt idx="132">
                  <c:v>43429</c:v>
                </c:pt>
                <c:pt idx="133">
                  <c:v>43430</c:v>
                </c:pt>
                <c:pt idx="134">
                  <c:v>43431</c:v>
                </c:pt>
                <c:pt idx="135">
                  <c:v>43432</c:v>
                </c:pt>
                <c:pt idx="136">
                  <c:v>43433</c:v>
                </c:pt>
                <c:pt idx="137">
                  <c:v>43434</c:v>
                </c:pt>
                <c:pt idx="138">
                  <c:v>43435</c:v>
                </c:pt>
                <c:pt idx="139">
                  <c:v>43436</c:v>
                </c:pt>
                <c:pt idx="140">
                  <c:v>43437</c:v>
                </c:pt>
                <c:pt idx="141">
                  <c:v>43438</c:v>
                </c:pt>
                <c:pt idx="142">
                  <c:v>43439</c:v>
                </c:pt>
                <c:pt idx="143">
                  <c:v>43440</c:v>
                </c:pt>
                <c:pt idx="144">
                  <c:v>43441</c:v>
                </c:pt>
                <c:pt idx="145">
                  <c:v>43442</c:v>
                </c:pt>
                <c:pt idx="146">
                  <c:v>43443</c:v>
                </c:pt>
                <c:pt idx="147">
                  <c:v>43444</c:v>
                </c:pt>
                <c:pt idx="148">
                  <c:v>43445</c:v>
                </c:pt>
                <c:pt idx="149">
                  <c:v>43446</c:v>
                </c:pt>
                <c:pt idx="150">
                  <c:v>43447</c:v>
                </c:pt>
                <c:pt idx="151">
                  <c:v>43448</c:v>
                </c:pt>
                <c:pt idx="152">
                  <c:v>43449</c:v>
                </c:pt>
                <c:pt idx="153">
                  <c:v>43450</c:v>
                </c:pt>
                <c:pt idx="154">
                  <c:v>43451</c:v>
                </c:pt>
                <c:pt idx="155">
                  <c:v>43452</c:v>
                </c:pt>
                <c:pt idx="156">
                  <c:v>43453</c:v>
                </c:pt>
                <c:pt idx="157">
                  <c:v>43454</c:v>
                </c:pt>
                <c:pt idx="158">
                  <c:v>43455</c:v>
                </c:pt>
                <c:pt idx="159">
                  <c:v>43456</c:v>
                </c:pt>
                <c:pt idx="160">
                  <c:v>43457</c:v>
                </c:pt>
                <c:pt idx="161">
                  <c:v>43458</c:v>
                </c:pt>
                <c:pt idx="162">
                  <c:v>43459</c:v>
                </c:pt>
                <c:pt idx="163">
                  <c:v>43460</c:v>
                </c:pt>
                <c:pt idx="164">
                  <c:v>43461</c:v>
                </c:pt>
                <c:pt idx="165">
                  <c:v>43462</c:v>
                </c:pt>
                <c:pt idx="166">
                  <c:v>43463</c:v>
                </c:pt>
                <c:pt idx="167">
                  <c:v>43464</c:v>
                </c:pt>
                <c:pt idx="168">
                  <c:v>43465</c:v>
                </c:pt>
                <c:pt idx="169">
                  <c:v>43466</c:v>
                </c:pt>
                <c:pt idx="170">
                  <c:v>43467</c:v>
                </c:pt>
                <c:pt idx="171">
                  <c:v>43468</c:v>
                </c:pt>
                <c:pt idx="172">
                  <c:v>43469</c:v>
                </c:pt>
                <c:pt idx="173">
                  <c:v>43470</c:v>
                </c:pt>
                <c:pt idx="174">
                  <c:v>43471</c:v>
                </c:pt>
                <c:pt idx="175">
                  <c:v>43472</c:v>
                </c:pt>
                <c:pt idx="176">
                  <c:v>43473</c:v>
                </c:pt>
                <c:pt idx="177">
                  <c:v>43474</c:v>
                </c:pt>
                <c:pt idx="178">
                  <c:v>43475</c:v>
                </c:pt>
                <c:pt idx="179">
                  <c:v>43476</c:v>
                </c:pt>
                <c:pt idx="180">
                  <c:v>43477</c:v>
                </c:pt>
                <c:pt idx="181">
                  <c:v>43478</c:v>
                </c:pt>
                <c:pt idx="182">
                  <c:v>43479</c:v>
                </c:pt>
                <c:pt idx="183">
                  <c:v>43480</c:v>
                </c:pt>
                <c:pt idx="184">
                  <c:v>43481</c:v>
                </c:pt>
                <c:pt idx="185">
                  <c:v>43482</c:v>
                </c:pt>
                <c:pt idx="186">
                  <c:v>43483</c:v>
                </c:pt>
                <c:pt idx="187">
                  <c:v>43484</c:v>
                </c:pt>
                <c:pt idx="188">
                  <c:v>43485</c:v>
                </c:pt>
                <c:pt idx="189">
                  <c:v>43486</c:v>
                </c:pt>
                <c:pt idx="190">
                  <c:v>43487</c:v>
                </c:pt>
                <c:pt idx="191">
                  <c:v>43488</c:v>
                </c:pt>
                <c:pt idx="192">
                  <c:v>43489</c:v>
                </c:pt>
                <c:pt idx="193">
                  <c:v>43490</c:v>
                </c:pt>
                <c:pt idx="194">
                  <c:v>43491</c:v>
                </c:pt>
                <c:pt idx="195">
                  <c:v>43492</c:v>
                </c:pt>
                <c:pt idx="196">
                  <c:v>43493</c:v>
                </c:pt>
                <c:pt idx="197">
                  <c:v>43494</c:v>
                </c:pt>
                <c:pt idx="198">
                  <c:v>43495</c:v>
                </c:pt>
                <c:pt idx="199">
                  <c:v>43496</c:v>
                </c:pt>
                <c:pt idx="200">
                  <c:v>43497</c:v>
                </c:pt>
                <c:pt idx="201">
                  <c:v>43498</c:v>
                </c:pt>
                <c:pt idx="202">
                  <c:v>43499</c:v>
                </c:pt>
                <c:pt idx="203">
                  <c:v>43500</c:v>
                </c:pt>
                <c:pt idx="204">
                  <c:v>43501</c:v>
                </c:pt>
                <c:pt idx="205">
                  <c:v>43502</c:v>
                </c:pt>
                <c:pt idx="206">
                  <c:v>43503</c:v>
                </c:pt>
                <c:pt idx="207">
                  <c:v>43504</c:v>
                </c:pt>
                <c:pt idx="208">
                  <c:v>43505</c:v>
                </c:pt>
                <c:pt idx="209">
                  <c:v>43506</c:v>
                </c:pt>
                <c:pt idx="210">
                  <c:v>43507</c:v>
                </c:pt>
                <c:pt idx="211">
                  <c:v>43508</c:v>
                </c:pt>
                <c:pt idx="212">
                  <c:v>43509</c:v>
                </c:pt>
                <c:pt idx="213">
                  <c:v>43510</c:v>
                </c:pt>
                <c:pt idx="214">
                  <c:v>43511</c:v>
                </c:pt>
                <c:pt idx="215">
                  <c:v>43512</c:v>
                </c:pt>
                <c:pt idx="216">
                  <c:v>43513</c:v>
                </c:pt>
                <c:pt idx="217">
                  <c:v>43514</c:v>
                </c:pt>
                <c:pt idx="218">
                  <c:v>43515</c:v>
                </c:pt>
                <c:pt idx="219">
                  <c:v>43516</c:v>
                </c:pt>
                <c:pt idx="220">
                  <c:v>43517</c:v>
                </c:pt>
                <c:pt idx="221">
                  <c:v>43518</c:v>
                </c:pt>
                <c:pt idx="222">
                  <c:v>43519</c:v>
                </c:pt>
                <c:pt idx="223">
                  <c:v>43520</c:v>
                </c:pt>
                <c:pt idx="224">
                  <c:v>43521</c:v>
                </c:pt>
                <c:pt idx="225">
                  <c:v>43522</c:v>
                </c:pt>
                <c:pt idx="226">
                  <c:v>43523</c:v>
                </c:pt>
                <c:pt idx="227">
                  <c:v>43524</c:v>
                </c:pt>
                <c:pt idx="228">
                  <c:v>43525</c:v>
                </c:pt>
                <c:pt idx="229">
                  <c:v>43526</c:v>
                </c:pt>
                <c:pt idx="230">
                  <c:v>43527</c:v>
                </c:pt>
                <c:pt idx="231">
                  <c:v>43528</c:v>
                </c:pt>
                <c:pt idx="232">
                  <c:v>43529</c:v>
                </c:pt>
                <c:pt idx="233">
                  <c:v>43530</c:v>
                </c:pt>
                <c:pt idx="234">
                  <c:v>43531</c:v>
                </c:pt>
                <c:pt idx="235">
                  <c:v>43532</c:v>
                </c:pt>
                <c:pt idx="236">
                  <c:v>43533</c:v>
                </c:pt>
                <c:pt idx="237">
                  <c:v>43534</c:v>
                </c:pt>
                <c:pt idx="238">
                  <c:v>43535</c:v>
                </c:pt>
                <c:pt idx="239">
                  <c:v>43536</c:v>
                </c:pt>
                <c:pt idx="240">
                  <c:v>43537</c:v>
                </c:pt>
                <c:pt idx="241">
                  <c:v>43538</c:v>
                </c:pt>
                <c:pt idx="242">
                  <c:v>43539</c:v>
                </c:pt>
                <c:pt idx="243">
                  <c:v>43540</c:v>
                </c:pt>
                <c:pt idx="244">
                  <c:v>43541</c:v>
                </c:pt>
                <c:pt idx="245">
                  <c:v>43542</c:v>
                </c:pt>
                <c:pt idx="246">
                  <c:v>43543</c:v>
                </c:pt>
                <c:pt idx="247">
                  <c:v>43544</c:v>
                </c:pt>
                <c:pt idx="248">
                  <c:v>43545</c:v>
                </c:pt>
                <c:pt idx="249">
                  <c:v>43546</c:v>
                </c:pt>
                <c:pt idx="250">
                  <c:v>43547</c:v>
                </c:pt>
                <c:pt idx="251">
                  <c:v>43548</c:v>
                </c:pt>
                <c:pt idx="252">
                  <c:v>43549</c:v>
                </c:pt>
                <c:pt idx="253">
                  <c:v>43550</c:v>
                </c:pt>
                <c:pt idx="254">
                  <c:v>43551</c:v>
                </c:pt>
                <c:pt idx="255">
                  <c:v>43552</c:v>
                </c:pt>
                <c:pt idx="256">
                  <c:v>43553</c:v>
                </c:pt>
                <c:pt idx="257">
                  <c:v>43554</c:v>
                </c:pt>
                <c:pt idx="258">
                  <c:v>43555</c:v>
                </c:pt>
                <c:pt idx="259">
                  <c:v>43556</c:v>
                </c:pt>
                <c:pt idx="260">
                  <c:v>43557</c:v>
                </c:pt>
                <c:pt idx="261">
                  <c:v>43558</c:v>
                </c:pt>
                <c:pt idx="262">
                  <c:v>43559</c:v>
                </c:pt>
                <c:pt idx="263">
                  <c:v>43560</c:v>
                </c:pt>
                <c:pt idx="264">
                  <c:v>43561</c:v>
                </c:pt>
                <c:pt idx="265">
                  <c:v>43562</c:v>
                </c:pt>
                <c:pt idx="266">
                  <c:v>43563</c:v>
                </c:pt>
                <c:pt idx="267">
                  <c:v>43564</c:v>
                </c:pt>
                <c:pt idx="268">
                  <c:v>43565</c:v>
                </c:pt>
                <c:pt idx="269">
                  <c:v>43566</c:v>
                </c:pt>
                <c:pt idx="270">
                  <c:v>43567</c:v>
                </c:pt>
                <c:pt idx="271">
                  <c:v>43568</c:v>
                </c:pt>
                <c:pt idx="272">
                  <c:v>43569</c:v>
                </c:pt>
                <c:pt idx="273">
                  <c:v>43570</c:v>
                </c:pt>
                <c:pt idx="274">
                  <c:v>43571</c:v>
                </c:pt>
                <c:pt idx="275">
                  <c:v>43572</c:v>
                </c:pt>
                <c:pt idx="276">
                  <c:v>43573</c:v>
                </c:pt>
                <c:pt idx="277">
                  <c:v>43574</c:v>
                </c:pt>
                <c:pt idx="278">
                  <c:v>43575</c:v>
                </c:pt>
                <c:pt idx="279">
                  <c:v>43576</c:v>
                </c:pt>
                <c:pt idx="280">
                  <c:v>43577</c:v>
                </c:pt>
                <c:pt idx="281">
                  <c:v>43578</c:v>
                </c:pt>
                <c:pt idx="282">
                  <c:v>43579</c:v>
                </c:pt>
                <c:pt idx="283">
                  <c:v>43580</c:v>
                </c:pt>
                <c:pt idx="284">
                  <c:v>43581</c:v>
                </c:pt>
                <c:pt idx="285">
                  <c:v>43582</c:v>
                </c:pt>
                <c:pt idx="286">
                  <c:v>43583</c:v>
                </c:pt>
                <c:pt idx="287">
                  <c:v>43584</c:v>
                </c:pt>
                <c:pt idx="288">
                  <c:v>43585</c:v>
                </c:pt>
                <c:pt idx="289">
                  <c:v>43586</c:v>
                </c:pt>
                <c:pt idx="290">
                  <c:v>43587</c:v>
                </c:pt>
                <c:pt idx="291">
                  <c:v>43588</c:v>
                </c:pt>
                <c:pt idx="292">
                  <c:v>43589</c:v>
                </c:pt>
                <c:pt idx="293">
                  <c:v>43590</c:v>
                </c:pt>
                <c:pt idx="294">
                  <c:v>43591</c:v>
                </c:pt>
                <c:pt idx="295">
                  <c:v>43592</c:v>
                </c:pt>
                <c:pt idx="296">
                  <c:v>43593</c:v>
                </c:pt>
                <c:pt idx="297">
                  <c:v>43594</c:v>
                </c:pt>
                <c:pt idx="298">
                  <c:v>43595</c:v>
                </c:pt>
                <c:pt idx="299">
                  <c:v>43596</c:v>
                </c:pt>
                <c:pt idx="300">
                  <c:v>43597</c:v>
                </c:pt>
                <c:pt idx="301">
                  <c:v>43598</c:v>
                </c:pt>
                <c:pt idx="302">
                  <c:v>43599</c:v>
                </c:pt>
                <c:pt idx="303">
                  <c:v>43600</c:v>
                </c:pt>
                <c:pt idx="304">
                  <c:v>43601</c:v>
                </c:pt>
                <c:pt idx="305">
                  <c:v>43602</c:v>
                </c:pt>
                <c:pt idx="306">
                  <c:v>43603</c:v>
                </c:pt>
                <c:pt idx="307">
                  <c:v>43604</c:v>
                </c:pt>
                <c:pt idx="308">
                  <c:v>43605</c:v>
                </c:pt>
                <c:pt idx="309">
                  <c:v>43606</c:v>
                </c:pt>
                <c:pt idx="310">
                  <c:v>43607</c:v>
                </c:pt>
                <c:pt idx="311">
                  <c:v>43608</c:v>
                </c:pt>
                <c:pt idx="312">
                  <c:v>43609</c:v>
                </c:pt>
                <c:pt idx="313">
                  <c:v>43610</c:v>
                </c:pt>
                <c:pt idx="314">
                  <c:v>43611</c:v>
                </c:pt>
                <c:pt idx="315">
                  <c:v>43612</c:v>
                </c:pt>
                <c:pt idx="316">
                  <c:v>43613</c:v>
                </c:pt>
                <c:pt idx="317">
                  <c:v>43614</c:v>
                </c:pt>
                <c:pt idx="318">
                  <c:v>43615</c:v>
                </c:pt>
                <c:pt idx="319">
                  <c:v>43616</c:v>
                </c:pt>
                <c:pt idx="320">
                  <c:v>43617</c:v>
                </c:pt>
                <c:pt idx="321">
                  <c:v>43618</c:v>
                </c:pt>
                <c:pt idx="322">
                  <c:v>43619</c:v>
                </c:pt>
                <c:pt idx="323">
                  <c:v>43620</c:v>
                </c:pt>
                <c:pt idx="324">
                  <c:v>43621</c:v>
                </c:pt>
                <c:pt idx="325">
                  <c:v>43622</c:v>
                </c:pt>
                <c:pt idx="326">
                  <c:v>43623</c:v>
                </c:pt>
                <c:pt idx="327">
                  <c:v>43624</c:v>
                </c:pt>
                <c:pt idx="328">
                  <c:v>43625</c:v>
                </c:pt>
                <c:pt idx="329">
                  <c:v>43626</c:v>
                </c:pt>
                <c:pt idx="330">
                  <c:v>43627</c:v>
                </c:pt>
                <c:pt idx="331">
                  <c:v>43628</c:v>
                </c:pt>
                <c:pt idx="332">
                  <c:v>43629</c:v>
                </c:pt>
                <c:pt idx="333">
                  <c:v>43630</c:v>
                </c:pt>
                <c:pt idx="334">
                  <c:v>43631</c:v>
                </c:pt>
                <c:pt idx="335">
                  <c:v>43632</c:v>
                </c:pt>
                <c:pt idx="336">
                  <c:v>43633</c:v>
                </c:pt>
                <c:pt idx="337">
                  <c:v>43634</c:v>
                </c:pt>
                <c:pt idx="338">
                  <c:v>43635</c:v>
                </c:pt>
                <c:pt idx="339">
                  <c:v>43636</c:v>
                </c:pt>
                <c:pt idx="340">
                  <c:v>43637</c:v>
                </c:pt>
                <c:pt idx="341">
                  <c:v>43638</c:v>
                </c:pt>
                <c:pt idx="342">
                  <c:v>43639</c:v>
                </c:pt>
                <c:pt idx="343">
                  <c:v>43640</c:v>
                </c:pt>
                <c:pt idx="344">
                  <c:v>43641</c:v>
                </c:pt>
                <c:pt idx="345">
                  <c:v>43642</c:v>
                </c:pt>
                <c:pt idx="346">
                  <c:v>43643</c:v>
                </c:pt>
                <c:pt idx="347">
                  <c:v>43644</c:v>
                </c:pt>
                <c:pt idx="348">
                  <c:v>43645</c:v>
                </c:pt>
                <c:pt idx="349">
                  <c:v>43646</c:v>
                </c:pt>
                <c:pt idx="350">
                  <c:v>43647</c:v>
                </c:pt>
                <c:pt idx="351">
                  <c:v>43648</c:v>
                </c:pt>
                <c:pt idx="352">
                  <c:v>43649</c:v>
                </c:pt>
                <c:pt idx="353">
                  <c:v>43650</c:v>
                </c:pt>
                <c:pt idx="354">
                  <c:v>43651</c:v>
                </c:pt>
                <c:pt idx="355">
                  <c:v>43652</c:v>
                </c:pt>
                <c:pt idx="356">
                  <c:v>43653</c:v>
                </c:pt>
                <c:pt idx="357">
                  <c:v>43654</c:v>
                </c:pt>
                <c:pt idx="358">
                  <c:v>43655</c:v>
                </c:pt>
                <c:pt idx="359">
                  <c:v>43656</c:v>
                </c:pt>
                <c:pt idx="360">
                  <c:v>43657</c:v>
                </c:pt>
                <c:pt idx="361">
                  <c:v>43658</c:v>
                </c:pt>
                <c:pt idx="362">
                  <c:v>43659</c:v>
                </c:pt>
                <c:pt idx="363">
                  <c:v>43660</c:v>
                </c:pt>
                <c:pt idx="364">
                  <c:v>43661</c:v>
                </c:pt>
                <c:pt idx="365">
                  <c:v>43662</c:v>
                </c:pt>
                <c:pt idx="366">
                  <c:v>43663</c:v>
                </c:pt>
                <c:pt idx="367">
                  <c:v>43664</c:v>
                </c:pt>
                <c:pt idx="368">
                  <c:v>43665</c:v>
                </c:pt>
                <c:pt idx="369">
                  <c:v>43666</c:v>
                </c:pt>
                <c:pt idx="370">
                  <c:v>43667</c:v>
                </c:pt>
                <c:pt idx="371">
                  <c:v>43668</c:v>
                </c:pt>
                <c:pt idx="372">
                  <c:v>43669</c:v>
                </c:pt>
                <c:pt idx="373">
                  <c:v>43670</c:v>
                </c:pt>
                <c:pt idx="374">
                  <c:v>43671</c:v>
                </c:pt>
                <c:pt idx="375">
                  <c:v>43672</c:v>
                </c:pt>
                <c:pt idx="376">
                  <c:v>43673</c:v>
                </c:pt>
                <c:pt idx="377">
                  <c:v>43674</c:v>
                </c:pt>
                <c:pt idx="378">
                  <c:v>43675</c:v>
                </c:pt>
                <c:pt idx="379">
                  <c:v>43676</c:v>
                </c:pt>
                <c:pt idx="380">
                  <c:v>43677</c:v>
                </c:pt>
              </c:numCache>
            </c:numRef>
          </c:xVal>
          <c:yVal>
            <c:numRef>
              <c:f>'Oswald  16,6 kW'!$F$4:$F$384</c:f>
              <c:numCache>
                <c:formatCode>General</c:formatCode>
                <c:ptCount val="381"/>
                <c:pt idx="1">
                  <c:v>0</c:v>
                </c:pt>
                <c:pt idx="2">
                  <c:v>0.39286666666662001</c:v>
                </c:pt>
                <c:pt idx="3">
                  <c:v>3.3521290322580848</c:v>
                </c:pt>
                <c:pt idx="4">
                  <c:v>6.833666666666633</c:v>
                </c:pt>
                <c:pt idx="5">
                  <c:v>7.7573763440861585</c:v>
                </c:pt>
                <c:pt idx="6">
                  <c:v>9.3174193548387745</c:v>
                </c:pt>
                <c:pt idx="7">
                  <c:v>7.8652380952380598</c:v>
                </c:pt>
                <c:pt idx="8">
                  <c:v>5.3120000000000394</c:v>
                </c:pt>
                <c:pt idx="9">
                  <c:v>3.4712444444443906</c:v>
                </c:pt>
                <c:pt idx="10">
                  <c:v>2.7648817204301985</c:v>
                </c:pt>
                <c:pt idx="11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0.11066666666666627</c:v>
                </c:pt>
                <c:pt idx="41">
                  <c:v>0.99600000000000044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0.6639999999999997</c:v>
                </c:pt>
                <c:pt idx="47">
                  <c:v>1.5493333333333339</c:v>
                </c:pt>
                <c:pt idx="48">
                  <c:v>0.27666666666666667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0.49799999999999928</c:v>
                </c:pt>
                <c:pt idx="61">
                  <c:v>0.6639999999999997</c:v>
                </c:pt>
                <c:pt idx="62">
                  <c:v>0.6639999999999997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1.4939999999999998</c:v>
                </c:pt>
                <c:pt idx="69">
                  <c:v>1.8813333333333329</c:v>
                </c:pt>
                <c:pt idx="70">
                  <c:v>4.094666666666666</c:v>
                </c:pt>
                <c:pt idx="71">
                  <c:v>5.0353333333333348</c:v>
                </c:pt>
                <c:pt idx="72">
                  <c:v>4.592666666666668</c:v>
                </c:pt>
                <c:pt idx="73">
                  <c:v>1.8260000000000005</c:v>
                </c:pt>
                <c:pt idx="74">
                  <c:v>2.2133333333333334</c:v>
                </c:pt>
                <c:pt idx="75">
                  <c:v>4.4266666666666667</c:v>
                </c:pt>
                <c:pt idx="76">
                  <c:v>4.3160000000000007</c:v>
                </c:pt>
                <c:pt idx="77">
                  <c:v>5.6440000000000001</c:v>
                </c:pt>
                <c:pt idx="78">
                  <c:v>4.592666666666668</c:v>
                </c:pt>
                <c:pt idx="79">
                  <c:v>2.822000000000001</c:v>
                </c:pt>
                <c:pt idx="80">
                  <c:v>3.5413333333333328</c:v>
                </c:pt>
                <c:pt idx="81">
                  <c:v>3.5413333333333328</c:v>
                </c:pt>
                <c:pt idx="82">
                  <c:v>2.7666666666666666</c:v>
                </c:pt>
                <c:pt idx="83">
                  <c:v>2.3239999999999998</c:v>
                </c:pt>
                <c:pt idx="84">
                  <c:v>3.2646666666666659</c:v>
                </c:pt>
                <c:pt idx="85">
                  <c:v>3.873333333333334</c:v>
                </c:pt>
                <c:pt idx="86">
                  <c:v>1.5493333333333339</c:v>
                </c:pt>
                <c:pt idx="87">
                  <c:v>0.22133333333333255</c:v>
                </c:pt>
                <c:pt idx="88">
                  <c:v>1.0513333333333337</c:v>
                </c:pt>
                <c:pt idx="89">
                  <c:v>1.3833333333333333</c:v>
                </c:pt>
                <c:pt idx="90">
                  <c:v>0.77466666666666695</c:v>
                </c:pt>
                <c:pt idx="91">
                  <c:v>0.77466666666666695</c:v>
                </c:pt>
                <c:pt idx="92">
                  <c:v>2.2133333333333334</c:v>
                </c:pt>
                <c:pt idx="93">
                  <c:v>3.1539999999999995</c:v>
                </c:pt>
                <c:pt idx="94">
                  <c:v>3.2646666666666659</c:v>
                </c:pt>
                <c:pt idx="95">
                  <c:v>2.8773333333333331</c:v>
                </c:pt>
                <c:pt idx="96">
                  <c:v>3.7073333333333331</c:v>
                </c:pt>
                <c:pt idx="97">
                  <c:v>4.6479999999999997</c:v>
                </c:pt>
                <c:pt idx="98">
                  <c:v>5.5333333333333332</c:v>
                </c:pt>
                <c:pt idx="99">
                  <c:v>5.0353333333333348</c:v>
                </c:pt>
                <c:pt idx="100">
                  <c:v>3.984</c:v>
                </c:pt>
                <c:pt idx="101">
                  <c:v>3.0986666666666678</c:v>
                </c:pt>
                <c:pt idx="102">
                  <c:v>3.7073333333333331</c:v>
                </c:pt>
                <c:pt idx="103">
                  <c:v>5.0353333333333348</c:v>
                </c:pt>
                <c:pt idx="104">
                  <c:v>7.9126666666666674</c:v>
                </c:pt>
                <c:pt idx="105">
                  <c:v>6.0866666666666678</c:v>
                </c:pt>
                <c:pt idx="106">
                  <c:v>0.88533333333333319</c:v>
                </c:pt>
                <c:pt idx="107">
                  <c:v>4.6479999999999997</c:v>
                </c:pt>
                <c:pt idx="108">
                  <c:v>4.3160000000000007</c:v>
                </c:pt>
                <c:pt idx="109">
                  <c:v>4.9800000000000004</c:v>
                </c:pt>
                <c:pt idx="110">
                  <c:v>4.4266666666666667</c:v>
                </c:pt>
                <c:pt idx="111">
                  <c:v>3.3753333333333346</c:v>
                </c:pt>
                <c:pt idx="112">
                  <c:v>3.4306666666666668</c:v>
                </c:pt>
                <c:pt idx="113">
                  <c:v>3.3753333333333346</c:v>
                </c:pt>
                <c:pt idx="114">
                  <c:v>4.2053333333333347</c:v>
                </c:pt>
                <c:pt idx="115">
                  <c:v>3.8179999999999996</c:v>
                </c:pt>
                <c:pt idx="116">
                  <c:v>4.8139999999999992</c:v>
                </c:pt>
                <c:pt idx="117">
                  <c:v>4.4266666666666667</c:v>
                </c:pt>
                <c:pt idx="118">
                  <c:v>4.4820000000000011</c:v>
                </c:pt>
                <c:pt idx="119">
                  <c:v>5.1460000000000008</c:v>
                </c:pt>
                <c:pt idx="120">
                  <c:v>4.6479999999999997</c:v>
                </c:pt>
                <c:pt idx="121">
                  <c:v>5.9760000000000009</c:v>
                </c:pt>
                <c:pt idx="122">
                  <c:v>7.4146666666666663</c:v>
                </c:pt>
                <c:pt idx="123">
                  <c:v>9.0746666666666673</c:v>
                </c:pt>
                <c:pt idx="124">
                  <c:v>8.6320000000000014</c:v>
                </c:pt>
                <c:pt idx="125">
                  <c:v>9.5726666666666684</c:v>
                </c:pt>
                <c:pt idx="126">
                  <c:v>9.3513333333333346</c:v>
                </c:pt>
                <c:pt idx="127">
                  <c:v>9.2960000000000012</c:v>
                </c:pt>
                <c:pt idx="128">
                  <c:v>8.798</c:v>
                </c:pt>
                <c:pt idx="129">
                  <c:v>8.3553333333333359</c:v>
                </c:pt>
                <c:pt idx="130">
                  <c:v>7.2486666666666677</c:v>
                </c:pt>
                <c:pt idx="131">
                  <c:v>6.5293333333333345</c:v>
                </c:pt>
                <c:pt idx="132">
                  <c:v>7.5806666666666676</c:v>
                </c:pt>
                <c:pt idx="133">
                  <c:v>7.8573333333333331</c:v>
                </c:pt>
                <c:pt idx="134">
                  <c:v>10.292000000000002</c:v>
                </c:pt>
                <c:pt idx="135">
                  <c:v>11.509333333333332</c:v>
                </c:pt>
                <c:pt idx="136">
                  <c:v>11.398666666666667</c:v>
                </c:pt>
                <c:pt idx="137">
                  <c:v>10.679333333333334</c:v>
                </c:pt>
                <c:pt idx="138">
                  <c:v>10.347333333333333</c:v>
                </c:pt>
                <c:pt idx="139">
                  <c:v>8.9640000000000004</c:v>
                </c:pt>
                <c:pt idx="140">
                  <c:v>4.7586666666666684</c:v>
                </c:pt>
                <c:pt idx="141">
                  <c:v>5.8653333333333348</c:v>
                </c:pt>
                <c:pt idx="142">
                  <c:v>9.0746666666666673</c:v>
                </c:pt>
                <c:pt idx="143">
                  <c:v>8.8533333333333335</c:v>
                </c:pt>
                <c:pt idx="144">
                  <c:v>4.5373333333333337</c:v>
                </c:pt>
                <c:pt idx="145">
                  <c:v>5.6440000000000001</c:v>
                </c:pt>
                <c:pt idx="146">
                  <c:v>5.3120000000000012</c:v>
                </c:pt>
                <c:pt idx="147">
                  <c:v>7.3593333333333346</c:v>
                </c:pt>
                <c:pt idx="148">
                  <c:v>8.1340000000000003</c:v>
                </c:pt>
                <c:pt idx="149">
                  <c:v>8.798</c:v>
                </c:pt>
                <c:pt idx="150">
                  <c:v>10.790000000000001</c:v>
                </c:pt>
                <c:pt idx="151">
                  <c:v>10.790000000000001</c:v>
                </c:pt>
                <c:pt idx="152">
                  <c:v>10.292000000000002</c:v>
                </c:pt>
                <c:pt idx="153">
                  <c:v>10.790000000000001</c:v>
                </c:pt>
                <c:pt idx="154">
                  <c:v>8.9640000000000004</c:v>
                </c:pt>
                <c:pt idx="155">
                  <c:v>8.5213333333333328</c:v>
                </c:pt>
                <c:pt idx="156">
                  <c:v>9.3513333333333346</c:v>
                </c:pt>
                <c:pt idx="157">
                  <c:v>8.9640000000000004</c:v>
                </c:pt>
                <c:pt idx="158">
                  <c:v>6.1420000000000012</c:v>
                </c:pt>
                <c:pt idx="159">
                  <c:v>4.2606666666666664</c:v>
                </c:pt>
                <c:pt idx="160">
                  <c:v>5.7546666666666662</c:v>
                </c:pt>
                <c:pt idx="161">
                  <c:v>8.1340000000000003</c:v>
                </c:pt>
                <c:pt idx="162">
                  <c:v>7.8020000000000014</c:v>
                </c:pt>
                <c:pt idx="163">
                  <c:v>7.636000000000001</c:v>
                </c:pt>
                <c:pt idx="164">
                  <c:v>6.7506666666666666</c:v>
                </c:pt>
                <c:pt idx="165">
                  <c:v>6.9720000000000022</c:v>
                </c:pt>
                <c:pt idx="166">
                  <c:v>7.3040000000000003</c:v>
                </c:pt>
                <c:pt idx="167">
                  <c:v>6.7506666666666666</c:v>
                </c:pt>
                <c:pt idx="168">
                  <c:v>6.8613333333333335</c:v>
                </c:pt>
                <c:pt idx="169">
                  <c:v>6.0866666666666678</c:v>
                </c:pt>
                <c:pt idx="170">
                  <c:v>9.0746666666666673</c:v>
                </c:pt>
                <c:pt idx="171">
                  <c:v>10.624000000000002</c:v>
                </c:pt>
                <c:pt idx="172">
                  <c:v>10.181333333333333</c:v>
                </c:pt>
                <c:pt idx="173">
                  <c:v>7.027333333333333</c:v>
                </c:pt>
                <c:pt idx="174">
                  <c:v>8.9086666666666687</c:v>
                </c:pt>
                <c:pt idx="175">
                  <c:v>8.8533333333333335</c:v>
                </c:pt>
                <c:pt idx="176">
                  <c:v>7.4146666666666663</c:v>
                </c:pt>
                <c:pt idx="177">
                  <c:v>8.798</c:v>
                </c:pt>
                <c:pt idx="178">
                  <c:v>9.2960000000000012</c:v>
                </c:pt>
                <c:pt idx="179">
                  <c:v>10.790000000000001</c:v>
                </c:pt>
                <c:pt idx="180">
                  <c:v>8.0233333333333334</c:v>
                </c:pt>
                <c:pt idx="181">
                  <c:v>7.027333333333333</c:v>
                </c:pt>
                <c:pt idx="182">
                  <c:v>8.1893333333333338</c:v>
                </c:pt>
                <c:pt idx="183">
                  <c:v>8.1893333333333338</c:v>
                </c:pt>
                <c:pt idx="184">
                  <c:v>7.1379999999999999</c:v>
                </c:pt>
                <c:pt idx="185">
                  <c:v>6.4186666666666676</c:v>
                </c:pt>
                <c:pt idx="186">
                  <c:v>9.9046666666666656</c:v>
                </c:pt>
                <c:pt idx="187">
                  <c:v>12.007333333333337</c:v>
                </c:pt>
                <c:pt idx="188">
                  <c:v>11.177333333333335</c:v>
                </c:pt>
                <c:pt idx="189">
                  <c:v>12.284000000000002</c:v>
                </c:pt>
                <c:pt idx="190">
                  <c:v>12.505333333333336</c:v>
                </c:pt>
                <c:pt idx="191">
                  <c:v>12.948</c:v>
                </c:pt>
                <c:pt idx="192">
                  <c:v>11.841333333333333</c:v>
                </c:pt>
                <c:pt idx="193">
                  <c:v>11.454000000000002</c:v>
                </c:pt>
                <c:pt idx="194">
                  <c:v>9.1300000000000008</c:v>
                </c:pt>
                <c:pt idx="195">
                  <c:v>7.3040000000000003</c:v>
                </c:pt>
                <c:pt idx="196">
                  <c:v>7.7466666666666679</c:v>
                </c:pt>
                <c:pt idx="197">
                  <c:v>8.6873333333333331</c:v>
                </c:pt>
                <c:pt idx="198">
                  <c:v>10.292000000000002</c:v>
                </c:pt>
                <c:pt idx="199">
                  <c:v>9.517333333333335</c:v>
                </c:pt>
                <c:pt idx="200">
                  <c:v>9.0746666666666673</c:v>
                </c:pt>
                <c:pt idx="201">
                  <c:v>7.968</c:v>
                </c:pt>
                <c:pt idx="202">
                  <c:v>9.2406666666666677</c:v>
                </c:pt>
                <c:pt idx="203">
                  <c:v>10.015333333333334</c:v>
                </c:pt>
                <c:pt idx="204">
                  <c:v>11.288</c:v>
                </c:pt>
                <c:pt idx="205">
                  <c:v>10.015333333333334</c:v>
                </c:pt>
                <c:pt idx="206">
                  <c:v>10.734666666666667</c:v>
                </c:pt>
                <c:pt idx="207">
                  <c:v>8.0233333333333334</c:v>
                </c:pt>
                <c:pt idx="208">
                  <c:v>6.9166666666666679</c:v>
                </c:pt>
                <c:pt idx="209">
                  <c:v>6.3633333333333333</c:v>
                </c:pt>
                <c:pt idx="210">
                  <c:v>7.0826666666666673</c:v>
                </c:pt>
                <c:pt idx="211">
                  <c:v>8.4660000000000011</c:v>
                </c:pt>
                <c:pt idx="212">
                  <c:v>6.9166666666666679</c:v>
                </c:pt>
                <c:pt idx="213">
                  <c:v>6.6953333333333349</c:v>
                </c:pt>
                <c:pt idx="214">
                  <c:v>7.525333333333335</c:v>
                </c:pt>
                <c:pt idx="215">
                  <c:v>8.9086666666666687</c:v>
                </c:pt>
                <c:pt idx="216">
                  <c:v>8.1893333333333338</c:v>
                </c:pt>
                <c:pt idx="217">
                  <c:v>8.4106666666666676</c:v>
                </c:pt>
                <c:pt idx="218">
                  <c:v>6.9166666666666679</c:v>
                </c:pt>
                <c:pt idx="219">
                  <c:v>6.9166666666666679</c:v>
                </c:pt>
                <c:pt idx="220">
                  <c:v>6.0313333333333334</c:v>
                </c:pt>
                <c:pt idx="221">
                  <c:v>7.0826666666666673</c:v>
                </c:pt>
                <c:pt idx="222">
                  <c:v>10.956</c:v>
                </c:pt>
                <c:pt idx="223">
                  <c:v>9.738666666666667</c:v>
                </c:pt>
                <c:pt idx="224">
                  <c:v>5.9206666666666665</c:v>
                </c:pt>
                <c:pt idx="225">
                  <c:v>5.2013333333333334</c:v>
                </c:pt>
                <c:pt idx="226">
                  <c:v>5.8653333333333348</c:v>
                </c:pt>
                <c:pt idx="227">
                  <c:v>3.7626666666666675</c:v>
                </c:pt>
                <c:pt idx="228">
                  <c:v>4.703333333333334</c:v>
                </c:pt>
                <c:pt idx="229">
                  <c:v>7.0826666666666673</c:v>
                </c:pt>
                <c:pt idx="230">
                  <c:v>4.3713333333333333</c:v>
                </c:pt>
                <c:pt idx="231">
                  <c:v>3.4860000000000011</c:v>
                </c:pt>
                <c:pt idx="232">
                  <c:v>6.3633333333333333</c:v>
                </c:pt>
                <c:pt idx="233">
                  <c:v>5.9206666666666665</c:v>
                </c:pt>
                <c:pt idx="234">
                  <c:v>4.4820000000000011</c:v>
                </c:pt>
                <c:pt idx="235">
                  <c:v>5.2013333333333334</c:v>
                </c:pt>
                <c:pt idx="236">
                  <c:v>5.2013333333333334</c:v>
                </c:pt>
                <c:pt idx="237">
                  <c:v>5.3673333333333337</c:v>
                </c:pt>
                <c:pt idx="238">
                  <c:v>7.5806666666666676</c:v>
                </c:pt>
                <c:pt idx="239">
                  <c:v>7.1379999999999999</c:v>
                </c:pt>
                <c:pt idx="240">
                  <c:v>5.6440000000000001</c:v>
                </c:pt>
                <c:pt idx="241">
                  <c:v>6.1973333333333338</c:v>
                </c:pt>
                <c:pt idx="242">
                  <c:v>5.2013333333333334</c:v>
                </c:pt>
                <c:pt idx="243">
                  <c:v>5.3120000000000012</c:v>
                </c:pt>
                <c:pt idx="244">
                  <c:v>3.5966666666666667</c:v>
                </c:pt>
                <c:pt idx="245">
                  <c:v>6.3633333333333333</c:v>
                </c:pt>
                <c:pt idx="246">
                  <c:v>7.0826666666666673</c:v>
                </c:pt>
                <c:pt idx="247">
                  <c:v>6.0313333333333334</c:v>
                </c:pt>
                <c:pt idx="248">
                  <c:v>5.5333333333333332</c:v>
                </c:pt>
                <c:pt idx="249">
                  <c:v>3.873333333333334</c:v>
                </c:pt>
                <c:pt idx="250">
                  <c:v>2.7666666666666666</c:v>
                </c:pt>
                <c:pt idx="251">
                  <c:v>4.4820000000000011</c:v>
                </c:pt>
                <c:pt idx="252">
                  <c:v>5.9206666666666665</c:v>
                </c:pt>
                <c:pt idx="253">
                  <c:v>6.4186666666666676</c:v>
                </c:pt>
                <c:pt idx="254">
                  <c:v>6.0313333333333334</c:v>
                </c:pt>
                <c:pt idx="255">
                  <c:v>4.9246666666666661</c:v>
                </c:pt>
                <c:pt idx="256">
                  <c:v>4.5373333333333337</c:v>
                </c:pt>
                <c:pt idx="257">
                  <c:v>4.2606666666666664</c:v>
                </c:pt>
                <c:pt idx="258">
                  <c:v>3.5966666666666667</c:v>
                </c:pt>
                <c:pt idx="259">
                  <c:v>5.3673333333333337</c:v>
                </c:pt>
                <c:pt idx="260">
                  <c:v>4.592666666666668</c:v>
                </c:pt>
                <c:pt idx="261">
                  <c:v>2.4346666666666659</c:v>
                </c:pt>
                <c:pt idx="262">
                  <c:v>1.9920000000000009</c:v>
                </c:pt>
                <c:pt idx="263">
                  <c:v>2.2686666666666677</c:v>
                </c:pt>
                <c:pt idx="264">
                  <c:v>2.8773333333333331</c:v>
                </c:pt>
                <c:pt idx="265">
                  <c:v>3.7626666666666675</c:v>
                </c:pt>
                <c:pt idx="266">
                  <c:v>2.3239999999999998</c:v>
                </c:pt>
                <c:pt idx="267">
                  <c:v>3.5413333333333328</c:v>
                </c:pt>
                <c:pt idx="268">
                  <c:v>5.8100000000000005</c:v>
                </c:pt>
                <c:pt idx="269">
                  <c:v>6.8613333333333335</c:v>
                </c:pt>
                <c:pt idx="270">
                  <c:v>7.6913333333333336</c:v>
                </c:pt>
                <c:pt idx="271">
                  <c:v>6.9720000000000022</c:v>
                </c:pt>
                <c:pt idx="272">
                  <c:v>6.8613333333333335</c:v>
                </c:pt>
                <c:pt idx="273">
                  <c:v>4.5373333333333337</c:v>
                </c:pt>
                <c:pt idx="274">
                  <c:v>4.592666666666668</c:v>
                </c:pt>
                <c:pt idx="275">
                  <c:v>3.7626666666666675</c:v>
                </c:pt>
                <c:pt idx="276">
                  <c:v>2.5453333333333341</c:v>
                </c:pt>
                <c:pt idx="277">
                  <c:v>1.2173333333333329</c:v>
                </c:pt>
                <c:pt idx="278">
                  <c:v>1.5493333333333339</c:v>
                </c:pt>
                <c:pt idx="279">
                  <c:v>1.7153333333333343</c:v>
                </c:pt>
                <c:pt idx="280">
                  <c:v>2.4346666666666659</c:v>
                </c:pt>
                <c:pt idx="281">
                  <c:v>2.822000000000001</c:v>
                </c:pt>
                <c:pt idx="282">
                  <c:v>0.99600000000000044</c:v>
                </c:pt>
                <c:pt idx="283">
                  <c:v>0</c:v>
                </c:pt>
                <c:pt idx="284">
                  <c:v>0</c:v>
                </c:pt>
                <c:pt idx="285">
                  <c:v>3.2646666666666659</c:v>
                </c:pt>
                <c:pt idx="286">
                  <c:v>4.0393333333333343</c:v>
                </c:pt>
                <c:pt idx="287">
                  <c:v>4.9800000000000004</c:v>
                </c:pt>
                <c:pt idx="288">
                  <c:v>3.2093333333333338</c:v>
                </c:pt>
                <c:pt idx="289">
                  <c:v>3.1539999999999995</c:v>
                </c:pt>
                <c:pt idx="290">
                  <c:v>1.7153333333333343</c:v>
                </c:pt>
                <c:pt idx="291">
                  <c:v>4.4266666666666667</c:v>
                </c:pt>
                <c:pt idx="292">
                  <c:v>5.9760000000000009</c:v>
                </c:pt>
                <c:pt idx="293">
                  <c:v>6.3079999999999989</c:v>
                </c:pt>
                <c:pt idx="294">
                  <c:v>5.7546666666666662</c:v>
                </c:pt>
                <c:pt idx="295">
                  <c:v>5.5333333333333332</c:v>
                </c:pt>
                <c:pt idx="296">
                  <c:v>3.0433333333333339</c:v>
                </c:pt>
                <c:pt idx="297">
                  <c:v>2.047333333333333</c:v>
                </c:pt>
                <c:pt idx="298">
                  <c:v>1.9920000000000009</c:v>
                </c:pt>
                <c:pt idx="299">
                  <c:v>3.4306666666666668</c:v>
                </c:pt>
                <c:pt idx="300">
                  <c:v>3.9286666666666674</c:v>
                </c:pt>
                <c:pt idx="301">
                  <c:v>3.7073333333333331</c:v>
                </c:pt>
                <c:pt idx="302">
                  <c:v>5.2013333333333334</c:v>
                </c:pt>
                <c:pt idx="303">
                  <c:v>6.0866666666666678</c:v>
                </c:pt>
                <c:pt idx="304">
                  <c:v>5.0906666666666665</c:v>
                </c:pt>
                <c:pt idx="305">
                  <c:v>2.7666666666666666</c:v>
                </c:pt>
                <c:pt idx="306">
                  <c:v>1.6046666666666669</c:v>
                </c:pt>
                <c:pt idx="307">
                  <c:v>0</c:v>
                </c:pt>
                <c:pt idx="308">
                  <c:v>1.4386666666666665</c:v>
                </c:pt>
                <c:pt idx="309">
                  <c:v>0.99600000000000044</c:v>
                </c:pt>
                <c:pt idx="310">
                  <c:v>2.1579999999999995</c:v>
                </c:pt>
                <c:pt idx="311">
                  <c:v>2.2133333333333334</c:v>
                </c:pt>
                <c:pt idx="312">
                  <c:v>1.3833333333333333</c:v>
                </c:pt>
                <c:pt idx="313">
                  <c:v>0.33200000000000079</c:v>
                </c:pt>
                <c:pt idx="314">
                  <c:v>0.11066666666666627</c:v>
                </c:pt>
                <c:pt idx="315">
                  <c:v>0</c:v>
                </c:pt>
                <c:pt idx="316">
                  <c:v>1.4939999999999998</c:v>
                </c:pt>
                <c:pt idx="317">
                  <c:v>2.5453333333333341</c:v>
                </c:pt>
                <c:pt idx="318">
                  <c:v>1.936666666666667</c:v>
                </c:pt>
                <c:pt idx="319">
                  <c:v>0.11066666666666627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0.6639999999999997</c:v>
                </c:pt>
                <c:pt idx="358">
                  <c:v>1.2726666666666671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0.27666666666666667</c:v>
                </c:pt>
                <c:pt idx="363">
                  <c:v>0</c:v>
                </c:pt>
                <c:pt idx="364">
                  <c:v>0</c:v>
                </c:pt>
                <c:pt idx="365">
                  <c:v>0.38733333333333297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BA5-4039-A20B-2724FB81D02B}"/>
            </c:ext>
          </c:extLst>
        </c:ser>
        <c:axId val="149144704"/>
        <c:axId val="149146240"/>
      </c:scatterChart>
      <c:valAx>
        <c:axId val="149144704"/>
        <c:scaling>
          <c:orientation val="minMax"/>
        </c:scaling>
        <c:axPos val="b"/>
        <c:majorGridlines/>
        <c:numFmt formatCode="dd/mm/yyyy" sourceLinked="1"/>
        <c:tickLblPos val="nextTo"/>
        <c:txPr>
          <a:bodyPr rot="-162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49146240"/>
        <c:crosses val="autoZero"/>
        <c:crossBetween val="midCat"/>
        <c:majorUnit val="30.5"/>
      </c:valAx>
      <c:valAx>
        <c:axId val="149146240"/>
        <c:scaling>
          <c:orientation val="minMax"/>
        </c:scaling>
        <c:axPos val="l"/>
        <c:majorGridlines/>
        <c:numFmt formatCode="General" sourceLinked="1"/>
        <c:tickLblPos val="nextTo"/>
        <c:crossAx val="149144704"/>
        <c:crosses val="autoZero"/>
        <c:crossBetween val="midCat"/>
        <c:majorUnit val="1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'Adam N'!$D$4</c:f>
              <c:strCache>
                <c:ptCount val="1"/>
                <c:pt idx="0">
                  <c:v>kW plyn</c:v>
                </c:pt>
              </c:strCache>
            </c:strRef>
          </c:tx>
          <c:marker>
            <c:symbol val="none"/>
          </c:marker>
          <c:xVal>
            <c:numRef>
              <c:f>'Adam N'!$A$30:$A$46</c:f>
              <c:numCache>
                <c:formatCode>dd/mm/yyyy</c:formatCode>
                <c:ptCount val="1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</c:numCache>
            </c:numRef>
          </c:xVal>
          <c:yVal>
            <c:numRef>
              <c:f>'Adam N'!$D$30:$D$46</c:f>
              <c:numCache>
                <c:formatCode>General</c:formatCode>
                <c:ptCount val="17"/>
                <c:pt idx="0">
                  <c:v>4.5805779569892469</c:v>
                </c:pt>
                <c:pt idx="1">
                  <c:v>4.3914583333333326</c:v>
                </c:pt>
                <c:pt idx="2">
                  <c:v>3.7449999999999997</c:v>
                </c:pt>
                <c:pt idx="3">
                  <c:v>2.1221666666666663</c:v>
                </c:pt>
                <c:pt idx="4">
                  <c:v>1.9329032258064514</c:v>
                </c:pt>
                <c:pt idx="12">
                  <c:v>3.1913037634408599</c:v>
                </c:pt>
                <c:pt idx="13">
                  <c:v>2.7657040229885053</c:v>
                </c:pt>
                <c:pt idx="14">
                  <c:v>2.6879435483870964</c:v>
                </c:pt>
                <c:pt idx="15">
                  <c:v>1.1026944444444442</c:v>
                </c:pt>
                <c:pt idx="16">
                  <c:v>0.48322580645161284</c:v>
                </c:pt>
              </c:numCache>
            </c:numRef>
          </c:yVal>
        </c:ser>
        <c:ser>
          <c:idx val="1"/>
          <c:order val="1"/>
          <c:tx>
            <c:strRef>
              <c:f>'Adam N'!$E$4</c:f>
              <c:strCache>
                <c:ptCount val="1"/>
                <c:pt idx="0">
                  <c:v>kW ztráty</c:v>
                </c:pt>
              </c:strCache>
            </c:strRef>
          </c:tx>
          <c:marker>
            <c:symbol val="none"/>
          </c:marker>
          <c:xVal>
            <c:numRef>
              <c:f>'Adam N'!$A$30:$A$46</c:f>
              <c:numCache>
                <c:formatCode>dd/mm/yyyy</c:formatCode>
                <c:ptCount val="17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</c:numCache>
            </c:numRef>
          </c:xVal>
          <c:yVal>
            <c:numRef>
              <c:f>'Adam N'!$E$30:$E$46</c:f>
              <c:numCache>
                <c:formatCode>General</c:formatCode>
                <c:ptCount val="17"/>
                <c:pt idx="0">
                  <c:v>4.1516129032258418</c:v>
                </c:pt>
                <c:pt idx="1">
                  <c:v>3.3642857142856948</c:v>
                </c:pt>
                <c:pt idx="2">
                  <c:v>1.9800000000000213</c:v>
                </c:pt>
                <c:pt idx="3">
                  <c:v>0.98199999999997067</c:v>
                </c:pt>
                <c:pt idx="4">
                  <c:v>0.59903225806456561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1.027741935483913</c:v>
                </c:pt>
                <c:pt idx="10">
                  <c:v>2.3180000000000289</c:v>
                </c:pt>
                <c:pt idx="11">
                  <c:v>3.2835483870968729</c:v>
                </c:pt>
                <c:pt idx="12">
                  <c:v>3.7519354838710455</c:v>
                </c:pt>
                <c:pt idx="13">
                  <c:v>2.600689655172391</c:v>
                </c:pt>
                <c:pt idx="14">
                  <c:v>2.6370967741935476</c:v>
                </c:pt>
                <c:pt idx="15">
                  <c:v>1.0309999999999491</c:v>
                </c:pt>
                <c:pt idx="16">
                  <c:v>0.51483870967739132</c:v>
                </c:pt>
              </c:numCache>
            </c:numRef>
          </c:yVal>
        </c:ser>
        <c:axId val="149404672"/>
        <c:axId val="149414656"/>
      </c:scatterChart>
      <c:valAx>
        <c:axId val="149404672"/>
        <c:scaling>
          <c:orientation val="minMax"/>
        </c:scaling>
        <c:axPos val="b"/>
        <c:majorGridlines/>
        <c:minorGridlines/>
        <c:numFmt formatCode="dd/mm/yyyy" sourceLinked="1"/>
        <c:tickLblPos val="nextTo"/>
        <c:crossAx val="149414656"/>
        <c:crosses val="autoZero"/>
        <c:crossBetween val="midCat"/>
        <c:majorUnit val="90"/>
        <c:minorUnit val="30"/>
      </c:valAx>
      <c:valAx>
        <c:axId val="149414656"/>
        <c:scaling>
          <c:orientation val="minMax"/>
        </c:scaling>
        <c:axPos val="l"/>
        <c:majorGridlines/>
        <c:numFmt formatCode="General" sourceLinked="1"/>
        <c:tickLblPos val="nextTo"/>
        <c:crossAx val="1494046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 sz="1000" baseline="0"/>
              <a:t>suma m3 z TZ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'Adam N'!$G$4</c:f>
              <c:strCache>
                <c:ptCount val="1"/>
                <c:pt idx="0">
                  <c:v>suma m3 z TZ</c:v>
                </c:pt>
              </c:strCache>
            </c:strRef>
          </c:tx>
          <c:marker>
            <c:symbol val="none"/>
          </c:marker>
          <c:xVal>
            <c:numRef>
              <c:f>'Adam N'!$A$5:$A$72</c:f>
              <c:numCache>
                <c:formatCode>dd/mm/yyyy</c:formatCode>
                <c:ptCount val="68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  <c:pt idx="20">
                  <c:v>43343</c:v>
                </c:pt>
                <c:pt idx="21">
                  <c:v>43373</c:v>
                </c:pt>
                <c:pt idx="22">
                  <c:v>43404</c:v>
                </c:pt>
                <c:pt idx="23">
                  <c:v>43434</c:v>
                </c:pt>
                <c:pt idx="24">
                  <c:v>43465</c:v>
                </c:pt>
                <c:pt idx="25">
                  <c:v>43496</c:v>
                </c:pt>
                <c:pt idx="26">
                  <c:v>43524</c:v>
                </c:pt>
                <c:pt idx="27">
                  <c:v>43555</c:v>
                </c:pt>
                <c:pt idx="28">
                  <c:v>43585</c:v>
                </c:pt>
                <c:pt idx="29">
                  <c:v>43616</c:v>
                </c:pt>
                <c:pt idx="30">
                  <c:v>43646</c:v>
                </c:pt>
                <c:pt idx="31">
                  <c:v>43677</c:v>
                </c:pt>
                <c:pt idx="32">
                  <c:v>43708</c:v>
                </c:pt>
                <c:pt idx="33">
                  <c:v>43738</c:v>
                </c:pt>
                <c:pt idx="34">
                  <c:v>43769</c:v>
                </c:pt>
                <c:pt idx="35">
                  <c:v>43799</c:v>
                </c:pt>
                <c:pt idx="36">
                  <c:v>43830</c:v>
                </c:pt>
                <c:pt idx="37">
                  <c:v>43861</c:v>
                </c:pt>
                <c:pt idx="38">
                  <c:v>43890</c:v>
                </c:pt>
                <c:pt idx="39">
                  <c:v>43921</c:v>
                </c:pt>
                <c:pt idx="40">
                  <c:v>43951</c:v>
                </c:pt>
                <c:pt idx="41">
                  <c:v>43982</c:v>
                </c:pt>
                <c:pt idx="42">
                  <c:v>44012</c:v>
                </c:pt>
                <c:pt idx="43">
                  <c:v>44043</c:v>
                </c:pt>
                <c:pt idx="44">
                  <c:v>44074</c:v>
                </c:pt>
                <c:pt idx="45">
                  <c:v>44104</c:v>
                </c:pt>
                <c:pt idx="46">
                  <c:v>44135</c:v>
                </c:pt>
                <c:pt idx="47">
                  <c:v>44165</c:v>
                </c:pt>
                <c:pt idx="48">
                  <c:v>44196</c:v>
                </c:pt>
                <c:pt idx="49">
                  <c:v>44227</c:v>
                </c:pt>
                <c:pt idx="50">
                  <c:v>44255</c:v>
                </c:pt>
                <c:pt idx="51">
                  <c:v>44286</c:v>
                </c:pt>
                <c:pt idx="52">
                  <c:v>44316</c:v>
                </c:pt>
                <c:pt idx="53">
                  <c:v>44347</c:v>
                </c:pt>
                <c:pt idx="54">
                  <c:v>44377</c:v>
                </c:pt>
                <c:pt idx="55">
                  <c:v>44408</c:v>
                </c:pt>
                <c:pt idx="56">
                  <c:v>44439</c:v>
                </c:pt>
                <c:pt idx="57">
                  <c:v>44469</c:v>
                </c:pt>
                <c:pt idx="58">
                  <c:v>44500</c:v>
                </c:pt>
                <c:pt idx="59">
                  <c:v>44530</c:v>
                </c:pt>
                <c:pt idx="60">
                  <c:v>44561</c:v>
                </c:pt>
                <c:pt idx="61">
                  <c:v>44592</c:v>
                </c:pt>
                <c:pt idx="62">
                  <c:v>44620</c:v>
                </c:pt>
                <c:pt idx="63">
                  <c:v>44651</c:v>
                </c:pt>
                <c:pt idx="64">
                  <c:v>44681</c:v>
                </c:pt>
                <c:pt idx="65">
                  <c:v>44712</c:v>
                </c:pt>
                <c:pt idx="66">
                  <c:v>44742</c:v>
                </c:pt>
                <c:pt idx="67">
                  <c:v>44773</c:v>
                </c:pt>
              </c:numCache>
            </c:numRef>
          </c:xVal>
          <c:yVal>
            <c:numRef>
              <c:f>'Adam N'!$G$5:$G$72</c:f>
              <c:numCache>
                <c:formatCode>0.00</c:formatCode>
                <c:ptCount val="68"/>
                <c:pt idx="1">
                  <c:v>556.19759679572815</c:v>
                </c:pt>
                <c:pt idx="2">
                  <c:v>880.14953271028185</c:v>
                </c:pt>
                <c:pt idx="3">
                  <c:v>1081.2496662216292</c:v>
                </c:pt>
                <c:pt idx="4">
                  <c:v>1248.1281708945269</c:v>
                </c:pt>
                <c:pt idx="5">
                  <c:v>1248.1281708945269</c:v>
                </c:pt>
                <c:pt idx="6">
                  <c:v>1248.1281708945269</c:v>
                </c:pt>
                <c:pt idx="7">
                  <c:v>1248.1281708945269</c:v>
                </c:pt>
                <c:pt idx="8">
                  <c:v>1248.1281708945269</c:v>
                </c:pt>
                <c:pt idx="9">
                  <c:v>1274.4672897196215</c:v>
                </c:pt>
                <c:pt idx="10">
                  <c:v>1365.7890520694195</c:v>
                </c:pt>
                <c:pt idx="11">
                  <c:v>1629.5647530039969</c:v>
                </c:pt>
                <c:pt idx="12">
                  <c:v>1985.04672897195</c:v>
                </c:pt>
                <c:pt idx="13">
                  <c:v>2303.9999999999886</c:v>
                </c:pt>
                <c:pt idx="14">
                  <c:v>2736.288384512673</c:v>
                </c:pt>
                <c:pt idx="15">
                  <c:v>3096.7690253671421</c:v>
                </c:pt>
                <c:pt idx="16">
                  <c:v>3105.4205607476497</c:v>
                </c:pt>
                <c:pt idx="17">
                  <c:v>3105.4205607476497</c:v>
                </c:pt>
                <c:pt idx="18">
                  <c:v>3105.4205607476497</c:v>
                </c:pt>
                <c:pt idx="19">
                  <c:v>3105.4205607476497</c:v>
                </c:pt>
                <c:pt idx="20">
                  <c:v>3105.4205607476497</c:v>
                </c:pt>
                <c:pt idx="21">
                  <c:v>3105.4205607476497</c:v>
                </c:pt>
                <c:pt idx="22">
                  <c:v>3196.5500667556616</c:v>
                </c:pt>
                <c:pt idx="23">
                  <c:v>3466.1895861148055</c:v>
                </c:pt>
                <c:pt idx="24">
                  <c:v>3794.5634178905138</c:v>
                </c:pt>
                <c:pt idx="25">
                  <c:v>4206.9532710280337</c:v>
                </c:pt>
                <c:pt idx="26">
                  <c:v>4508.7957276368434</c:v>
                </c:pt>
                <c:pt idx="27">
                  <c:v>4705.4739652870458</c:v>
                </c:pt>
                <c:pt idx="28">
                  <c:v>4799.8718291054674</c:v>
                </c:pt>
                <c:pt idx="29">
                  <c:v>4859.3751668891837</c:v>
                </c:pt>
                <c:pt idx="30">
                  <c:v>4859.3751668891837</c:v>
                </c:pt>
                <c:pt idx="31">
                  <c:v>4859.3751668891837</c:v>
                </c:pt>
                <c:pt idx="32">
                  <c:v>4859.3751668891837</c:v>
                </c:pt>
                <c:pt idx="33">
                  <c:v>4859.3751668891837</c:v>
                </c:pt>
                <c:pt idx="34">
                  <c:v>4961.4632843791742</c:v>
                </c:pt>
                <c:pt idx="35">
                  <c:v>5184.288384512688</c:v>
                </c:pt>
                <c:pt idx="36">
                  <c:v>5510.451268357825</c:v>
                </c:pt>
                <c:pt idx="37">
                  <c:v>5883.1401869159099</c:v>
                </c:pt>
                <c:pt idx="38">
                  <c:v>6124.8064085447459</c:v>
                </c:pt>
                <c:pt idx="39">
                  <c:v>6386.7556742323295</c:v>
                </c:pt>
                <c:pt idx="40">
                  <c:v>6485.863818424581</c:v>
                </c:pt>
                <c:pt idx="41">
                  <c:v>6537.0040053404664</c:v>
                </c:pt>
                <c:pt idx="42">
                  <c:v>6537.0040053404664</c:v>
                </c:pt>
                <c:pt idx="43">
                  <c:v>6537.0040053404664</c:v>
                </c:pt>
                <c:pt idx="44">
                  <c:v>6537.0040053404664</c:v>
                </c:pt>
                <c:pt idx="45">
                  <c:v>6537.0040053404664</c:v>
                </c:pt>
                <c:pt idx="46">
                  <c:v>6648.0320427236438</c:v>
                </c:pt>
                <c:pt idx="47">
                  <c:v>6911.807743658218</c:v>
                </c:pt>
                <c:pt idx="48">
                  <c:v>7241.9118825100149</c:v>
                </c:pt>
                <c:pt idx="49">
                  <c:v>7656.4165554072151</c:v>
                </c:pt>
                <c:pt idx="50">
                  <c:v>8051.1188251001413</c:v>
                </c:pt>
                <c:pt idx="51">
                  <c:v>8342.771695594125</c:v>
                </c:pt>
                <c:pt idx="52">
                  <c:v>8555.9839786381799</c:v>
                </c:pt>
                <c:pt idx="53">
                  <c:v>8626.8304405874424</c:v>
                </c:pt>
                <c:pt idx="54">
                  <c:v>8626.8304405874424</c:v>
                </c:pt>
                <c:pt idx="55">
                  <c:v>8626.8304405874424</c:v>
                </c:pt>
                <c:pt idx="56">
                  <c:v>8626.8304405874424</c:v>
                </c:pt>
                <c:pt idx="57">
                  <c:v>8626.8304405874424</c:v>
                </c:pt>
                <c:pt idx="58">
                  <c:v>8771.0226969292216</c:v>
                </c:pt>
                <c:pt idx="59">
                  <c:v>9040.3738317756906</c:v>
                </c:pt>
                <c:pt idx="60">
                  <c:v>9403.6421895860949</c:v>
                </c:pt>
                <c:pt idx="61">
                  <c:v>9751.7222963951754</c:v>
                </c:pt>
                <c:pt idx="62">
                  <c:v>10005.596795727624</c:v>
                </c:pt>
                <c:pt idx="63">
                  <c:v>10284.464619492639</c:v>
                </c:pt>
                <c:pt idx="64">
                  <c:v>10466.915887850453</c:v>
                </c:pt>
                <c:pt idx="65">
                  <c:v>10466.915887850453</c:v>
                </c:pt>
                <c:pt idx="66">
                  <c:v>10466.915887850453</c:v>
                </c:pt>
                <c:pt idx="67">
                  <c:v>10884.112149532697</c:v>
                </c:pt>
              </c:numCache>
            </c:numRef>
          </c:yVal>
        </c:ser>
        <c:axId val="149446656"/>
        <c:axId val="149448192"/>
      </c:scatterChart>
      <c:valAx>
        <c:axId val="149446656"/>
        <c:scaling>
          <c:orientation val="minMax"/>
        </c:scaling>
        <c:axPos val="b"/>
        <c:numFmt formatCode="dd/mm/yyyy" sourceLinked="1"/>
        <c:tickLblPos val="nextTo"/>
        <c:crossAx val="149448192"/>
        <c:crosses val="autoZero"/>
        <c:crossBetween val="midCat"/>
      </c:valAx>
      <c:valAx>
        <c:axId val="149448192"/>
        <c:scaling>
          <c:orientation val="minMax"/>
        </c:scaling>
        <c:axPos val="l"/>
        <c:majorGridlines/>
        <c:numFmt formatCode="0.00" sourceLinked="1"/>
        <c:tickLblPos val="nextTo"/>
        <c:crossAx val="149446656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Ekvit. křivka (kW) / venk teplota (°C)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'Adam N'!$D$5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'Adam N'!$B$30:$B$46</c:f>
              <c:numCache>
                <c:formatCode>General</c:formatCode>
                <c:ptCount val="17"/>
                <c:pt idx="0">
                  <c:v>0.16129032258052781</c:v>
                </c:pt>
                <c:pt idx="1">
                  <c:v>2.7857142857143509</c:v>
                </c:pt>
                <c:pt idx="2">
                  <c:v>7.3999999999999293</c:v>
                </c:pt>
                <c:pt idx="3">
                  <c:v>10.726666666666764</c:v>
                </c:pt>
                <c:pt idx="4">
                  <c:v>12.003225806451448</c:v>
                </c:pt>
                <c:pt idx="5">
                  <c:v>21.836666666666861</c:v>
                </c:pt>
                <c:pt idx="6">
                  <c:v>20.43870967741919</c:v>
                </c:pt>
                <c:pt idx="7">
                  <c:v>20.251612903225784</c:v>
                </c:pt>
                <c:pt idx="8">
                  <c:v>14.953333333333164</c:v>
                </c:pt>
                <c:pt idx="9">
                  <c:v>10.574193548386956</c:v>
                </c:pt>
                <c:pt idx="10">
                  <c:v>6.2733333333332366</c:v>
                </c:pt>
                <c:pt idx="11">
                  <c:v>3.0548387096770906</c:v>
                </c:pt>
                <c:pt idx="12">
                  <c:v>1.4935483870965161</c:v>
                </c:pt>
                <c:pt idx="13">
                  <c:v>5.331034482758696</c:v>
                </c:pt>
                <c:pt idx="14">
                  <c:v>5.209677419354839</c:v>
                </c:pt>
                <c:pt idx="15">
                  <c:v>10.563333333333503</c:v>
                </c:pt>
                <c:pt idx="16">
                  <c:v>12.283870967742029</c:v>
                </c:pt>
              </c:numCache>
            </c:numRef>
          </c:xVal>
          <c:yVal>
            <c:numRef>
              <c:f>'Adam N'!$D$30:$D$46</c:f>
              <c:numCache>
                <c:formatCode>General</c:formatCode>
                <c:ptCount val="17"/>
                <c:pt idx="0">
                  <c:v>4.5805779569892469</c:v>
                </c:pt>
                <c:pt idx="1">
                  <c:v>4.3914583333333326</c:v>
                </c:pt>
                <c:pt idx="2">
                  <c:v>3.7449999999999997</c:v>
                </c:pt>
                <c:pt idx="3">
                  <c:v>2.1221666666666663</c:v>
                </c:pt>
                <c:pt idx="4">
                  <c:v>1.9329032258064514</c:v>
                </c:pt>
                <c:pt idx="12">
                  <c:v>3.1913037634408599</c:v>
                </c:pt>
                <c:pt idx="13">
                  <c:v>2.7657040229885053</c:v>
                </c:pt>
                <c:pt idx="14">
                  <c:v>2.6879435483870964</c:v>
                </c:pt>
                <c:pt idx="15">
                  <c:v>1.1026944444444442</c:v>
                </c:pt>
                <c:pt idx="16">
                  <c:v>0.48322580645161284</c:v>
                </c:pt>
              </c:numCache>
            </c:numRef>
          </c:yVal>
        </c:ser>
        <c:ser>
          <c:idx val="1"/>
          <c:order val="1"/>
          <c:tx>
            <c:strRef>
              <c:f>'Adam N'!$E$5</c:f>
              <c:strCache>
                <c:ptCount val="1"/>
                <c:pt idx="0">
                  <c:v>4,2</c:v>
                </c:pt>
              </c:strCache>
            </c:strRef>
          </c:tx>
          <c:marker>
            <c:symbol val="none"/>
          </c:marker>
          <c:xVal>
            <c:numRef>
              <c:f>'Adam N'!$B$30:$B$46</c:f>
              <c:numCache>
                <c:formatCode>General</c:formatCode>
                <c:ptCount val="17"/>
                <c:pt idx="0">
                  <c:v>0.16129032258052781</c:v>
                </c:pt>
                <c:pt idx="1">
                  <c:v>2.7857142857143509</c:v>
                </c:pt>
                <c:pt idx="2">
                  <c:v>7.3999999999999293</c:v>
                </c:pt>
                <c:pt idx="3">
                  <c:v>10.726666666666764</c:v>
                </c:pt>
                <c:pt idx="4">
                  <c:v>12.003225806451448</c:v>
                </c:pt>
                <c:pt idx="5">
                  <c:v>21.836666666666861</c:v>
                </c:pt>
                <c:pt idx="6">
                  <c:v>20.43870967741919</c:v>
                </c:pt>
                <c:pt idx="7">
                  <c:v>20.251612903225784</c:v>
                </c:pt>
                <c:pt idx="8">
                  <c:v>14.953333333333164</c:v>
                </c:pt>
                <c:pt idx="9">
                  <c:v>10.574193548386956</c:v>
                </c:pt>
                <c:pt idx="10">
                  <c:v>6.2733333333332366</c:v>
                </c:pt>
                <c:pt idx="11">
                  <c:v>3.0548387096770906</c:v>
                </c:pt>
                <c:pt idx="12">
                  <c:v>1.4935483870965161</c:v>
                </c:pt>
                <c:pt idx="13">
                  <c:v>5.331034482758696</c:v>
                </c:pt>
                <c:pt idx="14">
                  <c:v>5.209677419354839</c:v>
                </c:pt>
                <c:pt idx="15">
                  <c:v>10.563333333333503</c:v>
                </c:pt>
                <c:pt idx="16">
                  <c:v>12.283870967742029</c:v>
                </c:pt>
              </c:numCache>
            </c:numRef>
          </c:xVal>
          <c:yVal>
            <c:numRef>
              <c:f>'Adam N'!$E$30:$E$46</c:f>
              <c:numCache>
                <c:formatCode>General</c:formatCode>
                <c:ptCount val="17"/>
                <c:pt idx="0">
                  <c:v>4.1516129032258418</c:v>
                </c:pt>
                <c:pt idx="1">
                  <c:v>3.3642857142856948</c:v>
                </c:pt>
                <c:pt idx="2">
                  <c:v>1.9800000000000213</c:v>
                </c:pt>
                <c:pt idx="3">
                  <c:v>0.98199999999997067</c:v>
                </c:pt>
                <c:pt idx="4">
                  <c:v>0.59903225806456561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1.027741935483913</c:v>
                </c:pt>
                <c:pt idx="10">
                  <c:v>2.3180000000000289</c:v>
                </c:pt>
                <c:pt idx="11">
                  <c:v>3.2835483870968729</c:v>
                </c:pt>
                <c:pt idx="12">
                  <c:v>3.7519354838710455</c:v>
                </c:pt>
                <c:pt idx="13">
                  <c:v>2.600689655172391</c:v>
                </c:pt>
                <c:pt idx="14">
                  <c:v>2.6370967741935476</c:v>
                </c:pt>
                <c:pt idx="15">
                  <c:v>1.0309999999999491</c:v>
                </c:pt>
                <c:pt idx="16">
                  <c:v>0.51483870967739132</c:v>
                </c:pt>
              </c:numCache>
            </c:numRef>
          </c:yVal>
        </c:ser>
        <c:axId val="149472768"/>
        <c:axId val="149474304"/>
      </c:scatterChart>
      <c:valAx>
        <c:axId val="149472768"/>
        <c:scaling>
          <c:orientation val="minMax"/>
        </c:scaling>
        <c:axPos val="b"/>
        <c:majorGridlines/>
        <c:numFmt formatCode="General" sourceLinked="1"/>
        <c:tickLblPos val="nextTo"/>
        <c:crossAx val="149474304"/>
        <c:crosses val="autoZero"/>
        <c:crossBetween val="midCat"/>
      </c:valAx>
      <c:valAx>
        <c:axId val="149474304"/>
        <c:scaling>
          <c:orientation val="minMax"/>
        </c:scaling>
        <c:axPos val="l"/>
        <c:majorGridlines/>
        <c:numFmt formatCode="General" sourceLinked="1"/>
        <c:tickLblPos val="nextTo"/>
        <c:crossAx val="149472768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Výkony (kW) / datum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ku!$J$4</c:f>
              <c:strCache>
                <c:ptCount val="1"/>
                <c:pt idx="0">
                  <c:v>plyn (kW)</c:v>
                </c:pt>
              </c:strCache>
            </c:strRef>
          </c:tx>
          <c:xVal>
            <c:numRef>
              <c:f>ku!$A$8:$A$28</c:f>
              <c:numCache>
                <c:formatCode>[$-405]mmm\-yy;@</c:formatCode>
                <c:ptCount val="21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</c:numCache>
            </c:numRef>
          </c:xVal>
          <c:yVal>
            <c:numRef>
              <c:f>ku!$J$8:$J$28</c:f>
              <c:numCache>
                <c:formatCode>General</c:formatCode>
                <c:ptCount val="21"/>
                <c:pt idx="0">
                  <c:v>0.27383064516129024</c:v>
                </c:pt>
                <c:pt idx="1">
                  <c:v>0.13765972222222222</c:v>
                </c:pt>
                <c:pt idx="2">
                  <c:v>2.7903225806451604E-2</c:v>
                </c:pt>
                <c:pt idx="3">
                  <c:v>3.8833333333333275E-2</c:v>
                </c:pt>
                <c:pt idx="4">
                  <c:v>-5.4072580645161267E-2</c:v>
                </c:pt>
                <c:pt idx="5">
                  <c:v>0.15086693548387087</c:v>
                </c:pt>
                <c:pt idx="6">
                  <c:v>1.0835694444444441</c:v>
                </c:pt>
                <c:pt idx="7">
                  <c:v>2.282237903225806</c:v>
                </c:pt>
                <c:pt idx="8">
                  <c:v>3.3283402777777775</c:v>
                </c:pt>
                <c:pt idx="9">
                  <c:v>4.9601142473118269</c:v>
                </c:pt>
                <c:pt idx="10">
                  <c:v>2.7194422043010751</c:v>
                </c:pt>
                <c:pt idx="11">
                  <c:v>2.7555505952380948</c:v>
                </c:pt>
                <c:pt idx="12">
                  <c:v>1.5034677419354834</c:v>
                </c:pt>
                <c:pt idx="13">
                  <c:v>1.1400416666666664</c:v>
                </c:pt>
                <c:pt idx="14">
                  <c:v>-2.6747311827957032E-2</c:v>
                </c:pt>
                <c:pt idx="15">
                  <c:v>-3.1756944444444435E-2</c:v>
                </c:pt>
                <c:pt idx="16">
                  <c:v>4.1565860215053707E-2</c:v>
                </c:pt>
                <c:pt idx="17">
                  <c:v>0.10987903225806445</c:v>
                </c:pt>
                <c:pt idx="18">
                  <c:v>0.90003472222222225</c:v>
                </c:pt>
                <c:pt idx="19">
                  <c:v>1.7630577956989246</c:v>
                </c:pt>
                <c:pt idx="20">
                  <c:v>2.5236111111111112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DED-46EA-AEC0-46BAA3C184F6}"/>
            </c:ext>
          </c:extLst>
        </c:ser>
        <c:ser>
          <c:idx val="1"/>
          <c:order val="1"/>
          <c:tx>
            <c:strRef>
              <c:f>ku!$K$4</c:f>
              <c:strCache>
                <c:ptCount val="1"/>
                <c:pt idx="0">
                  <c:v>TZ (kW)</c:v>
                </c:pt>
              </c:strCache>
            </c:strRef>
          </c:tx>
          <c:xVal>
            <c:numRef>
              <c:f>ku!$A$8:$A$28</c:f>
              <c:numCache>
                <c:formatCode>[$-405]mmm\-yy;@</c:formatCode>
                <c:ptCount val="21"/>
                <c:pt idx="0">
                  <c:v>43191</c:v>
                </c:pt>
                <c:pt idx="1">
                  <c:v>43221</c:v>
                </c:pt>
                <c:pt idx="2">
                  <c:v>43252</c:v>
                </c:pt>
                <c:pt idx="3">
                  <c:v>43282</c:v>
                </c:pt>
                <c:pt idx="4">
                  <c:v>43313</c:v>
                </c:pt>
                <c:pt idx="5">
                  <c:v>43344</c:v>
                </c:pt>
                <c:pt idx="6">
                  <c:v>43374</c:v>
                </c:pt>
                <c:pt idx="7">
                  <c:v>43405</c:v>
                </c:pt>
                <c:pt idx="8">
                  <c:v>43435</c:v>
                </c:pt>
                <c:pt idx="9">
                  <c:v>43466</c:v>
                </c:pt>
                <c:pt idx="10">
                  <c:v>43497</c:v>
                </c:pt>
                <c:pt idx="11">
                  <c:v>43525</c:v>
                </c:pt>
                <c:pt idx="12">
                  <c:v>43556</c:v>
                </c:pt>
                <c:pt idx="13">
                  <c:v>43586</c:v>
                </c:pt>
                <c:pt idx="14">
                  <c:v>43617</c:v>
                </c:pt>
                <c:pt idx="15">
                  <c:v>43647</c:v>
                </c:pt>
                <c:pt idx="16">
                  <c:v>43678</c:v>
                </c:pt>
                <c:pt idx="17">
                  <c:v>43709</c:v>
                </c:pt>
                <c:pt idx="18">
                  <c:v>43739</c:v>
                </c:pt>
                <c:pt idx="19">
                  <c:v>43770</c:v>
                </c:pt>
                <c:pt idx="20">
                  <c:v>43800</c:v>
                </c:pt>
              </c:numCache>
            </c:numRef>
          </c:xVal>
          <c:yVal>
            <c:numRef>
              <c:f>ku!$K$8:$K$28</c:f>
              <c:numCache>
                <c:formatCode>General</c:formatCode>
                <c:ptCount val="21"/>
                <c:pt idx="0">
                  <c:v>0.23100000000000029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0.79800000000000015</c:v>
                </c:pt>
                <c:pt idx="7">
                  <c:v>1.9950000000000001</c:v>
                </c:pt>
                <c:pt idx="8">
                  <c:v>2.6460000000000004</c:v>
                </c:pt>
                <c:pt idx="9">
                  <c:v>3.2760000000000002</c:v>
                </c:pt>
                <c:pt idx="10">
                  <c:v>2.5409999999999999</c:v>
                </c:pt>
                <c:pt idx="11">
                  <c:v>1.7220000000000002</c:v>
                </c:pt>
                <c:pt idx="12">
                  <c:v>0.92400000000000004</c:v>
                </c:pt>
                <c:pt idx="13">
                  <c:v>0.65100000000000025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0.105</c:v>
                </c:pt>
                <c:pt idx="18">
                  <c:v>0.90300000000000014</c:v>
                </c:pt>
                <c:pt idx="19">
                  <c:v>1.7220000000000002</c:v>
                </c:pt>
                <c:pt idx="20">
                  <c:v>2.4990000000000001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1DED-46EA-AEC0-46BAA3C184F6}"/>
            </c:ext>
          </c:extLst>
        </c:ser>
        <c:axId val="149579264"/>
        <c:axId val="149580800"/>
      </c:scatterChart>
      <c:valAx>
        <c:axId val="149579264"/>
        <c:scaling>
          <c:orientation val="minMax"/>
          <c:min val="43190"/>
        </c:scaling>
        <c:axPos val="b"/>
        <c:majorGridlines/>
        <c:numFmt formatCode="[$-405]mmm\-yy;@" sourceLinked="1"/>
        <c:tickLblPos val="nextTo"/>
        <c:crossAx val="149580800"/>
        <c:crosses val="autoZero"/>
        <c:crossBetween val="midCat"/>
        <c:majorUnit val="30"/>
      </c:valAx>
      <c:valAx>
        <c:axId val="149580800"/>
        <c:scaling>
          <c:orientation val="minMax"/>
        </c:scaling>
        <c:axPos val="l"/>
        <c:majorGridlines/>
        <c:numFmt formatCode="General" sourceLinked="1"/>
        <c:tickLblPos val="nextTo"/>
        <c:crossAx val="14957926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měsíční průměry teplot Kbely / tazatel / okrajové podmínky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ku!$B$4</c:f>
              <c:strCache>
                <c:ptCount val="1"/>
                <c:pt idx="0">
                  <c:v>x</c:v>
                </c:pt>
              </c:strCache>
            </c:strRef>
          </c:tx>
          <c:marker>
            <c:symbol val="none"/>
          </c:marker>
          <c:xVal>
            <c:numRef>
              <c:f>ku!$A$5:$A$28</c:f>
              <c:numCache>
                <c:formatCode>[$-405]mmm\-yy;@</c:formatCode>
                <c:ptCount val="2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</c:numCache>
            </c:numRef>
          </c:xVal>
          <c:yVal>
            <c:numRef>
              <c:f>ku!$B$5:$B$28</c:f>
              <c:numCache>
                <c:formatCode>General</c:formatCode>
                <c:ptCount val="24"/>
                <c:pt idx="0">
                  <c:v>3.2483870967741582</c:v>
                </c:pt>
                <c:pt idx="1">
                  <c:v>-2.5500000000000518</c:v>
                </c:pt>
                <c:pt idx="2">
                  <c:v>2.3838709677420411</c:v>
                </c:pt>
                <c:pt idx="3">
                  <c:v>13.99333333333337</c:v>
                </c:pt>
                <c:pt idx="4">
                  <c:v>17.454838709677372</c:v>
                </c:pt>
                <c:pt idx="5">
                  <c:v>18.759999999999977</c:v>
                </c:pt>
                <c:pt idx="6">
                  <c:v>21.961290322580503</c:v>
                </c:pt>
                <c:pt idx="7">
                  <c:v>21.751612903225901</c:v>
                </c:pt>
                <c:pt idx="8">
                  <c:v>16.043333333333369</c:v>
                </c:pt>
                <c:pt idx="9">
                  <c:v>11.01935483870969</c:v>
                </c:pt>
                <c:pt idx="10">
                  <c:v>4.2866666666666786</c:v>
                </c:pt>
                <c:pt idx="11">
                  <c:v>3.2290322580642932</c:v>
                </c:pt>
                <c:pt idx="12">
                  <c:v>-1.2903225806557232E-2</c:v>
                </c:pt>
                <c:pt idx="13">
                  <c:v>3.067857142857195</c:v>
                </c:pt>
                <c:pt idx="14">
                  <c:v>7.361290322580551</c:v>
                </c:pt>
                <c:pt idx="15">
                  <c:v>10.860000000000097</c:v>
                </c:pt>
                <c:pt idx="16">
                  <c:v>12.29354838709661</c:v>
                </c:pt>
                <c:pt idx="17">
                  <c:v>22.053333333333526</c:v>
                </c:pt>
                <c:pt idx="18">
                  <c:v>20.22903225806435</c:v>
                </c:pt>
                <c:pt idx="19">
                  <c:v>20.332258064516104</c:v>
                </c:pt>
                <c:pt idx="20">
                  <c:v>14.676666666666522</c:v>
                </c:pt>
                <c:pt idx="21">
                  <c:v>10.209677419354721</c:v>
                </c:pt>
                <c:pt idx="22">
                  <c:v>6.1799999999999269</c:v>
                </c:pt>
                <c:pt idx="23">
                  <c:v>2.5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7C98-448B-A851-1BAB28F23BDC}"/>
            </c:ext>
          </c:extLst>
        </c:ser>
        <c:ser>
          <c:idx val="1"/>
          <c:order val="1"/>
          <c:tx>
            <c:strRef>
              <c:f>ku!$C$4</c:f>
              <c:strCache>
                <c:ptCount val="1"/>
                <c:pt idx="0">
                  <c:v>Venkovní teplota tazatele odpovídá 488 m.n.m.</c:v>
                </c:pt>
              </c:strCache>
            </c:strRef>
          </c:tx>
          <c:marker>
            <c:symbol val="none"/>
          </c:marker>
          <c:xVal>
            <c:numRef>
              <c:f>ku!$A$5:$A$28</c:f>
              <c:numCache>
                <c:formatCode>[$-405]mmm\-yy;@</c:formatCode>
                <c:ptCount val="2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</c:numCache>
            </c:numRef>
          </c:xVal>
          <c:yVal>
            <c:numRef>
              <c:f>ku!$C$5:$C$28</c:f>
              <c:numCache>
                <c:formatCode>General</c:formatCode>
                <c:ptCount val="24"/>
                <c:pt idx="0">
                  <c:v>1.8</c:v>
                </c:pt>
                <c:pt idx="1">
                  <c:v>-3.5</c:v>
                </c:pt>
                <c:pt idx="2">
                  <c:v>0.8</c:v>
                </c:pt>
                <c:pt idx="3">
                  <c:v>12.7</c:v>
                </c:pt>
                <c:pt idx="4">
                  <c:v>16.2</c:v>
                </c:pt>
                <c:pt idx="5">
                  <c:v>17.5</c:v>
                </c:pt>
                <c:pt idx="6">
                  <c:v>19.7</c:v>
                </c:pt>
                <c:pt idx="7">
                  <c:v>20.6</c:v>
                </c:pt>
                <c:pt idx="8">
                  <c:v>14.5</c:v>
                </c:pt>
                <c:pt idx="9">
                  <c:v>10</c:v>
                </c:pt>
                <c:pt idx="10">
                  <c:v>4.3</c:v>
                </c:pt>
                <c:pt idx="11">
                  <c:v>1.2</c:v>
                </c:pt>
                <c:pt idx="12">
                  <c:v>-1.8</c:v>
                </c:pt>
                <c:pt idx="13">
                  <c:v>1.7</c:v>
                </c:pt>
                <c:pt idx="14">
                  <c:v>5.6</c:v>
                </c:pt>
                <c:pt idx="15">
                  <c:v>9.4</c:v>
                </c:pt>
                <c:pt idx="16">
                  <c:v>10.7</c:v>
                </c:pt>
                <c:pt idx="17">
                  <c:v>20.7</c:v>
                </c:pt>
                <c:pt idx="18">
                  <c:v>18.8</c:v>
                </c:pt>
                <c:pt idx="19">
                  <c:v>18.899999999999999</c:v>
                </c:pt>
                <c:pt idx="20">
                  <c:v>13.3</c:v>
                </c:pt>
                <c:pt idx="21">
                  <c:v>9.5</c:v>
                </c:pt>
                <c:pt idx="22">
                  <c:v>5.6</c:v>
                </c:pt>
                <c:pt idx="23">
                  <c:v>1.9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7C98-448B-A851-1BAB28F23BDC}"/>
            </c:ext>
          </c:extLst>
        </c:ser>
        <c:ser>
          <c:idx val="2"/>
          <c:order val="2"/>
          <c:tx>
            <c:strRef>
              <c:f>ku!$D$4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ku!$A$5:$A$28</c:f>
              <c:numCache>
                <c:formatCode>[$-405]mmm\-yy;@</c:formatCode>
                <c:ptCount val="24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</c:numCache>
            </c:numRef>
          </c:xVal>
          <c:yVal>
            <c:numRef>
              <c:f>ku!$D$5:$D$28</c:f>
              <c:numCache>
                <c:formatCode>General</c:formatCode>
                <c:ptCount val="24"/>
                <c:pt idx="0">
                  <c:v>-2</c:v>
                </c:pt>
                <c:pt idx="1">
                  <c:v>-0.2</c:v>
                </c:pt>
                <c:pt idx="2">
                  <c:v>3.9</c:v>
                </c:pt>
                <c:pt idx="3">
                  <c:v>9.1999999999999993</c:v>
                </c:pt>
                <c:pt idx="4">
                  <c:v>13.8</c:v>
                </c:pt>
                <c:pt idx="5">
                  <c:v>17.2</c:v>
                </c:pt>
                <c:pt idx="6">
                  <c:v>18.5</c:v>
                </c:pt>
                <c:pt idx="7">
                  <c:v>18.2</c:v>
                </c:pt>
                <c:pt idx="8">
                  <c:v>14.1</c:v>
                </c:pt>
                <c:pt idx="9">
                  <c:v>9.1999999999999993</c:v>
                </c:pt>
                <c:pt idx="10">
                  <c:v>3.8</c:v>
                </c:pt>
                <c:pt idx="11">
                  <c:v>-0.1</c:v>
                </c:pt>
                <c:pt idx="12">
                  <c:v>-2</c:v>
                </c:pt>
                <c:pt idx="13">
                  <c:v>-0.2</c:v>
                </c:pt>
                <c:pt idx="14">
                  <c:v>3.9</c:v>
                </c:pt>
                <c:pt idx="15">
                  <c:v>9.1999999999999993</c:v>
                </c:pt>
                <c:pt idx="16">
                  <c:v>13.8</c:v>
                </c:pt>
                <c:pt idx="17">
                  <c:v>17.2</c:v>
                </c:pt>
                <c:pt idx="18">
                  <c:v>18.5</c:v>
                </c:pt>
                <c:pt idx="19">
                  <c:v>18.2</c:v>
                </c:pt>
                <c:pt idx="20">
                  <c:v>14.1</c:v>
                </c:pt>
                <c:pt idx="21">
                  <c:v>9.1999999999999993</c:v>
                </c:pt>
                <c:pt idx="22">
                  <c:v>3.8</c:v>
                </c:pt>
                <c:pt idx="23">
                  <c:v>-0.1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7C98-448B-A851-1BAB28F23BDC}"/>
            </c:ext>
          </c:extLst>
        </c:ser>
        <c:axId val="149615744"/>
        <c:axId val="149617280"/>
      </c:scatterChart>
      <c:valAx>
        <c:axId val="149615744"/>
        <c:scaling>
          <c:orientation val="minMax"/>
        </c:scaling>
        <c:axPos val="b"/>
        <c:numFmt formatCode="[$-405]mmm\-yy;@" sourceLinked="1"/>
        <c:tickLblPos val="nextTo"/>
        <c:crossAx val="149617280"/>
        <c:crosses val="autoZero"/>
        <c:crossBetween val="midCat"/>
      </c:valAx>
      <c:valAx>
        <c:axId val="149617280"/>
        <c:scaling>
          <c:orientation val="minMax"/>
        </c:scaling>
        <c:axPos val="l"/>
        <c:majorGridlines/>
        <c:numFmt formatCode="General" sourceLinked="1"/>
        <c:tickLblPos val="nextTo"/>
        <c:crossAx val="149615744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realistanr!$G$4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realistanr!$A$7:$A$27</c:f>
              <c:numCache>
                <c:formatCode>d/m/yy\ h:mm;@</c:formatCode>
                <c:ptCount val="21"/>
                <c:pt idx="0">
                  <c:v>42064.5</c:v>
                </c:pt>
                <c:pt idx="1">
                  <c:v>42095.5</c:v>
                </c:pt>
                <c:pt idx="2">
                  <c:v>42125.5</c:v>
                </c:pt>
                <c:pt idx="3">
                  <c:v>42156.5</c:v>
                </c:pt>
                <c:pt idx="4">
                  <c:v>42186.5</c:v>
                </c:pt>
                <c:pt idx="5">
                  <c:v>42217.5</c:v>
                </c:pt>
                <c:pt idx="6">
                  <c:v>42248.5</c:v>
                </c:pt>
                <c:pt idx="7">
                  <c:v>42278.5</c:v>
                </c:pt>
                <c:pt idx="8">
                  <c:v>42309.5</c:v>
                </c:pt>
                <c:pt idx="9">
                  <c:v>42339.5</c:v>
                </c:pt>
                <c:pt idx="10">
                  <c:v>42370.5</c:v>
                </c:pt>
                <c:pt idx="11">
                  <c:v>42401.5</c:v>
                </c:pt>
                <c:pt idx="12">
                  <c:v>42430.5</c:v>
                </c:pt>
                <c:pt idx="13">
                  <c:v>42461.5</c:v>
                </c:pt>
                <c:pt idx="14">
                  <c:v>42491.5</c:v>
                </c:pt>
                <c:pt idx="15">
                  <c:v>42522.5</c:v>
                </c:pt>
                <c:pt idx="16">
                  <c:v>42552.5</c:v>
                </c:pt>
                <c:pt idx="17">
                  <c:v>42583.5</c:v>
                </c:pt>
                <c:pt idx="18">
                  <c:v>42614.5</c:v>
                </c:pt>
                <c:pt idx="19">
                  <c:v>42644.5</c:v>
                </c:pt>
                <c:pt idx="20">
                  <c:v>42675.5</c:v>
                </c:pt>
              </c:numCache>
            </c:numRef>
          </c:xVal>
          <c:yVal>
            <c:numRef>
              <c:f>realistanr!$G$7:$G$27</c:f>
              <c:numCache>
                <c:formatCode>General</c:formatCode>
                <c:ptCount val="21"/>
                <c:pt idx="0">
                  <c:v>2.0188819444444444</c:v>
                </c:pt>
                <c:pt idx="1">
                  <c:v>1.7365208333333333</c:v>
                </c:pt>
                <c:pt idx="2">
                  <c:v>1.2282708333333332</c:v>
                </c:pt>
                <c:pt idx="3">
                  <c:v>0.49413194444444436</c:v>
                </c:pt>
                <c:pt idx="4">
                  <c:v>0.25412499999999999</c:v>
                </c:pt>
                <c:pt idx="5">
                  <c:v>0.2117708333333333</c:v>
                </c:pt>
                <c:pt idx="6">
                  <c:v>0.19765277777777776</c:v>
                </c:pt>
                <c:pt idx="7">
                  <c:v>0.32471527777777776</c:v>
                </c:pt>
                <c:pt idx="8">
                  <c:v>0.98826388888888872</c:v>
                </c:pt>
                <c:pt idx="9">
                  <c:v>1.2706249999999997</c:v>
                </c:pt>
                <c:pt idx="10">
                  <c:v>1.6941666666666664</c:v>
                </c:pt>
                <c:pt idx="11">
                  <c:v>2.2024166666666662</c:v>
                </c:pt>
                <c:pt idx="12">
                  <c:v>1.4682777777777778</c:v>
                </c:pt>
                <c:pt idx="13">
                  <c:v>1.4118055555555553</c:v>
                </c:pt>
                <c:pt idx="14">
                  <c:v>0.86120138888888875</c:v>
                </c:pt>
                <c:pt idx="15">
                  <c:v>0.52236805555555543</c:v>
                </c:pt>
                <c:pt idx="16">
                  <c:v>0.2400069444444444</c:v>
                </c:pt>
                <c:pt idx="17">
                  <c:v>0.25412499999999999</c:v>
                </c:pt>
                <c:pt idx="18">
                  <c:v>0.2400069444444444</c:v>
                </c:pt>
                <c:pt idx="19">
                  <c:v>0.22588888888888886</c:v>
                </c:pt>
                <c:pt idx="20">
                  <c:v>0.81884722222222206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E5BF-4579-BAEB-D7187E570C13}"/>
            </c:ext>
          </c:extLst>
        </c:ser>
        <c:ser>
          <c:idx val="1"/>
          <c:order val="1"/>
          <c:tx>
            <c:strRef>
              <c:f>realistanr!$H$4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realistanr!$A$7:$A$27</c:f>
              <c:numCache>
                <c:formatCode>d/m/yy\ h:mm;@</c:formatCode>
                <c:ptCount val="21"/>
                <c:pt idx="0">
                  <c:v>42064.5</c:v>
                </c:pt>
                <c:pt idx="1">
                  <c:v>42095.5</c:v>
                </c:pt>
                <c:pt idx="2">
                  <c:v>42125.5</c:v>
                </c:pt>
                <c:pt idx="3">
                  <c:v>42156.5</c:v>
                </c:pt>
                <c:pt idx="4">
                  <c:v>42186.5</c:v>
                </c:pt>
                <c:pt idx="5">
                  <c:v>42217.5</c:v>
                </c:pt>
                <c:pt idx="6">
                  <c:v>42248.5</c:v>
                </c:pt>
                <c:pt idx="7">
                  <c:v>42278.5</c:v>
                </c:pt>
                <c:pt idx="8">
                  <c:v>42309.5</c:v>
                </c:pt>
                <c:pt idx="9">
                  <c:v>42339.5</c:v>
                </c:pt>
                <c:pt idx="10">
                  <c:v>42370.5</c:v>
                </c:pt>
                <c:pt idx="11">
                  <c:v>42401.5</c:v>
                </c:pt>
                <c:pt idx="12">
                  <c:v>42430.5</c:v>
                </c:pt>
                <c:pt idx="13">
                  <c:v>42461.5</c:v>
                </c:pt>
                <c:pt idx="14">
                  <c:v>42491.5</c:v>
                </c:pt>
                <c:pt idx="15">
                  <c:v>42522.5</c:v>
                </c:pt>
                <c:pt idx="16">
                  <c:v>42552.5</c:v>
                </c:pt>
                <c:pt idx="17">
                  <c:v>42583.5</c:v>
                </c:pt>
                <c:pt idx="18">
                  <c:v>42614.5</c:v>
                </c:pt>
                <c:pt idx="19">
                  <c:v>42644.5</c:v>
                </c:pt>
                <c:pt idx="20">
                  <c:v>42675.5</c:v>
                </c:pt>
              </c:numCache>
            </c:numRef>
          </c:xVal>
          <c:yVal>
            <c:numRef>
              <c:f>realistanr!$H$7:$H$27</c:f>
              <c:numCache>
                <c:formatCode>General</c:formatCode>
                <c:ptCount val="21"/>
                <c:pt idx="0">
                  <c:v>1.9903333333333335</c:v>
                </c:pt>
                <c:pt idx="1">
                  <c:v>1.4986666666666668</c:v>
                </c:pt>
                <c:pt idx="2">
                  <c:v>1.0168333333333335</c:v>
                </c:pt>
                <c:pt idx="3">
                  <c:v>0.57433333333333336</c:v>
                </c:pt>
                <c:pt idx="4">
                  <c:v>0.24</c:v>
                </c:pt>
                <c:pt idx="5">
                  <c:v>0.24</c:v>
                </c:pt>
                <c:pt idx="6">
                  <c:v>0.24</c:v>
                </c:pt>
                <c:pt idx="7">
                  <c:v>0.39733333333333343</c:v>
                </c:pt>
                <c:pt idx="8">
                  <c:v>1.0660000000000001</c:v>
                </c:pt>
                <c:pt idx="9">
                  <c:v>1.4298333333333333</c:v>
                </c:pt>
                <c:pt idx="10">
                  <c:v>1.7641666666666667</c:v>
                </c:pt>
                <c:pt idx="11">
                  <c:v>2.1968333333333332</c:v>
                </c:pt>
                <c:pt idx="12">
                  <c:v>1.6068333333333333</c:v>
                </c:pt>
                <c:pt idx="13">
                  <c:v>1.4691666666666667</c:v>
                </c:pt>
                <c:pt idx="14">
                  <c:v>0.92833333333333334</c:v>
                </c:pt>
                <c:pt idx="15">
                  <c:v>0.49566666666666681</c:v>
                </c:pt>
                <c:pt idx="16">
                  <c:v>0.24</c:v>
                </c:pt>
                <c:pt idx="17">
                  <c:v>0.24</c:v>
                </c:pt>
                <c:pt idx="18">
                  <c:v>0.24</c:v>
                </c:pt>
                <c:pt idx="19">
                  <c:v>0.24</c:v>
                </c:pt>
                <c:pt idx="20">
                  <c:v>1.1348333333333334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E5BF-4579-BAEB-D7187E570C13}"/>
            </c:ext>
          </c:extLst>
        </c:ser>
        <c:axId val="149676032"/>
        <c:axId val="149677568"/>
      </c:scatterChart>
      <c:valAx>
        <c:axId val="149676032"/>
        <c:scaling>
          <c:orientation val="minMax"/>
        </c:scaling>
        <c:axPos val="b"/>
        <c:majorGridlines/>
        <c:numFmt formatCode="d/m/yy\ h:mm;@" sourceLinked="1"/>
        <c:tickLblPos val="nextTo"/>
        <c:txPr>
          <a:bodyPr rot="-1620000"/>
          <a:lstStyle/>
          <a:p>
            <a:pPr>
              <a:defRPr/>
            </a:pPr>
            <a:endParaRPr lang="cs-CZ"/>
          </a:p>
        </c:txPr>
        <c:crossAx val="149677568"/>
        <c:crosses val="autoZero"/>
        <c:crossBetween val="midCat"/>
        <c:majorUnit val="90"/>
      </c:valAx>
      <c:valAx>
        <c:axId val="149677568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14967603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realistanr!$A$10:$A$28</c:f>
              <c:numCache>
                <c:formatCode>d/m/yy\ h:mm;@</c:formatCode>
                <c:ptCount val="19"/>
                <c:pt idx="0">
                  <c:v>42156.5</c:v>
                </c:pt>
                <c:pt idx="1">
                  <c:v>42186.5</c:v>
                </c:pt>
                <c:pt idx="2">
                  <c:v>42217.5</c:v>
                </c:pt>
                <c:pt idx="3">
                  <c:v>42248.5</c:v>
                </c:pt>
                <c:pt idx="4">
                  <c:v>42278.5</c:v>
                </c:pt>
                <c:pt idx="5">
                  <c:v>42309.5</c:v>
                </c:pt>
                <c:pt idx="6">
                  <c:v>42339.5</c:v>
                </c:pt>
                <c:pt idx="7">
                  <c:v>42370.5</c:v>
                </c:pt>
                <c:pt idx="8">
                  <c:v>42401.5</c:v>
                </c:pt>
                <c:pt idx="9">
                  <c:v>42430.5</c:v>
                </c:pt>
                <c:pt idx="10">
                  <c:v>42461.5</c:v>
                </c:pt>
                <c:pt idx="11">
                  <c:v>42491.5</c:v>
                </c:pt>
                <c:pt idx="12">
                  <c:v>42522.5</c:v>
                </c:pt>
                <c:pt idx="13">
                  <c:v>42552.5</c:v>
                </c:pt>
                <c:pt idx="14">
                  <c:v>42583.5</c:v>
                </c:pt>
                <c:pt idx="15">
                  <c:v>42614.5</c:v>
                </c:pt>
                <c:pt idx="16">
                  <c:v>42644.5</c:v>
                </c:pt>
                <c:pt idx="17">
                  <c:v>42675.5</c:v>
                </c:pt>
                <c:pt idx="18">
                  <c:v>42705.5</c:v>
                </c:pt>
              </c:numCache>
            </c:numRef>
          </c:xVal>
          <c:yVal>
            <c:numRef>
              <c:f>realistanr!$C$10:$C$28</c:f>
              <c:numCache>
                <c:formatCode>General</c:formatCode>
                <c:ptCount val="19"/>
                <c:pt idx="0">
                  <c:v>13.748387096774204</c:v>
                </c:pt>
                <c:pt idx="1">
                  <c:v>17.11</c:v>
                </c:pt>
                <c:pt idx="2">
                  <c:v>21.29032258064516</c:v>
                </c:pt>
                <c:pt idx="3">
                  <c:v>22.480645161290347</c:v>
                </c:pt>
                <c:pt idx="4">
                  <c:v>14.083333333333348</c:v>
                </c:pt>
                <c:pt idx="5">
                  <c:v>8.6580645161290359</c:v>
                </c:pt>
                <c:pt idx="6">
                  <c:v>6.8866666666666028</c:v>
                </c:pt>
                <c:pt idx="7">
                  <c:v>4.9032258064516272</c:v>
                </c:pt>
                <c:pt idx="8">
                  <c:v>-0.25483870967740763</c:v>
                </c:pt>
                <c:pt idx="9">
                  <c:v>3.4034482758620785</c:v>
                </c:pt>
                <c:pt idx="10">
                  <c:v>4.4032258064515979</c:v>
                </c:pt>
                <c:pt idx="11">
                  <c:v>9.0266666666666584</c:v>
                </c:pt>
                <c:pt idx="12">
                  <c:v>14.625806451612892</c:v>
                </c:pt>
                <c:pt idx="13">
                  <c:v>18.486666666666618</c:v>
                </c:pt>
                <c:pt idx="14">
                  <c:v>19.922580645161272</c:v>
                </c:pt>
                <c:pt idx="15">
                  <c:v>18.554838709677444</c:v>
                </c:pt>
                <c:pt idx="16">
                  <c:v>17.559999999999945</c:v>
                </c:pt>
                <c:pt idx="17">
                  <c:v>8.4258064516128393</c:v>
                </c:pt>
                <c:pt idx="18">
                  <c:v>3.2900000000000245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A089-4CEF-AD84-0E3C04943404}"/>
            </c:ext>
          </c:extLst>
        </c:ser>
        <c:ser>
          <c:idx val="1"/>
          <c:order val="1"/>
          <c:xVal>
            <c:numRef>
              <c:f>realistanr!$A$10:$A$28</c:f>
              <c:numCache>
                <c:formatCode>d/m/yy\ h:mm;@</c:formatCode>
                <c:ptCount val="19"/>
                <c:pt idx="0">
                  <c:v>42156.5</c:v>
                </c:pt>
                <c:pt idx="1">
                  <c:v>42186.5</c:v>
                </c:pt>
                <c:pt idx="2">
                  <c:v>42217.5</c:v>
                </c:pt>
                <c:pt idx="3">
                  <c:v>42248.5</c:v>
                </c:pt>
                <c:pt idx="4">
                  <c:v>42278.5</c:v>
                </c:pt>
                <c:pt idx="5">
                  <c:v>42309.5</c:v>
                </c:pt>
                <c:pt idx="6">
                  <c:v>42339.5</c:v>
                </c:pt>
                <c:pt idx="7">
                  <c:v>42370.5</c:v>
                </c:pt>
                <c:pt idx="8">
                  <c:v>42401.5</c:v>
                </c:pt>
                <c:pt idx="9">
                  <c:v>42430.5</c:v>
                </c:pt>
                <c:pt idx="10">
                  <c:v>42461.5</c:v>
                </c:pt>
                <c:pt idx="11">
                  <c:v>42491.5</c:v>
                </c:pt>
                <c:pt idx="12">
                  <c:v>42522.5</c:v>
                </c:pt>
                <c:pt idx="13">
                  <c:v>42552.5</c:v>
                </c:pt>
                <c:pt idx="14">
                  <c:v>42583.5</c:v>
                </c:pt>
                <c:pt idx="15">
                  <c:v>42614.5</c:v>
                </c:pt>
                <c:pt idx="16">
                  <c:v>42644.5</c:v>
                </c:pt>
                <c:pt idx="17">
                  <c:v>42675.5</c:v>
                </c:pt>
                <c:pt idx="18">
                  <c:v>42705.5</c:v>
                </c:pt>
              </c:numCache>
            </c:numRef>
          </c:xVal>
          <c:yVal>
            <c:numRef>
              <c:f>realistanr!$D$10:$D$28</c:f>
              <c:numCache>
                <c:formatCode>General</c:formatCode>
                <c:ptCount val="19"/>
                <c:pt idx="0">
                  <c:v>15.6</c:v>
                </c:pt>
                <c:pt idx="1">
                  <c:v>20.8</c:v>
                </c:pt>
                <c:pt idx="2">
                  <c:v>25.1</c:v>
                </c:pt>
                <c:pt idx="3">
                  <c:v>25</c:v>
                </c:pt>
                <c:pt idx="4">
                  <c:v>17.399999999999999</c:v>
                </c:pt>
                <c:pt idx="5">
                  <c:v>10.6</c:v>
                </c:pt>
                <c:pt idx="6">
                  <c:v>6.9</c:v>
                </c:pt>
                <c:pt idx="7">
                  <c:v>3.5</c:v>
                </c:pt>
                <c:pt idx="8">
                  <c:v>-0.9</c:v>
                </c:pt>
                <c:pt idx="9">
                  <c:v>5.0999999999999996</c:v>
                </c:pt>
                <c:pt idx="10">
                  <c:v>6.5</c:v>
                </c:pt>
                <c:pt idx="11">
                  <c:v>12</c:v>
                </c:pt>
                <c:pt idx="12">
                  <c:v>16.399999999999999</c:v>
                </c:pt>
                <c:pt idx="13">
                  <c:v>21.7</c:v>
                </c:pt>
                <c:pt idx="14">
                  <c:v>22.9</c:v>
                </c:pt>
                <c:pt idx="15">
                  <c:v>20.8</c:v>
                </c:pt>
                <c:pt idx="16">
                  <c:v>19.2</c:v>
                </c:pt>
                <c:pt idx="17">
                  <c:v>9.9</c:v>
                </c:pt>
                <c:pt idx="18">
                  <c:v>4.5999999999999996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A089-4CEF-AD84-0E3C04943404}"/>
            </c:ext>
          </c:extLst>
        </c:ser>
        <c:axId val="147685376"/>
        <c:axId val="147686912"/>
      </c:scatterChart>
      <c:valAx>
        <c:axId val="147685376"/>
        <c:scaling>
          <c:orientation val="minMax"/>
        </c:scaling>
        <c:axPos val="b"/>
        <c:majorGridlines/>
        <c:minorGridlines/>
        <c:numFmt formatCode="d/m/yy;@" sourceLinked="0"/>
        <c:tickLblPos val="nextTo"/>
        <c:txPr>
          <a:bodyPr rot="-600000"/>
          <a:lstStyle/>
          <a:p>
            <a:pPr>
              <a:defRPr/>
            </a:pPr>
            <a:endParaRPr lang="cs-CZ"/>
          </a:p>
        </c:txPr>
        <c:crossAx val="147686912"/>
        <c:crosses val="autoZero"/>
        <c:crossBetween val="midCat"/>
        <c:majorUnit val="180"/>
        <c:minorUnit val="30"/>
      </c:valAx>
      <c:valAx>
        <c:axId val="147686912"/>
        <c:scaling>
          <c:orientation val="minMax"/>
        </c:scaling>
        <c:axPos val="l"/>
        <c:majorGridlines/>
        <c:numFmt formatCode="General" sourceLinked="1"/>
        <c:tickLblPos val="nextTo"/>
        <c:crossAx val="14768537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Závislost spotřeby (kW) na venkoví teplotě (°C) TZ 2,2 kW</a:t>
            </a:r>
          </a:p>
          <a:p>
            <a:pPr>
              <a:defRPr/>
            </a:pPr>
            <a:r>
              <a:rPr lang="cs-CZ" sz="1000" baseline="0"/>
              <a:t>Při 11°C je spotřeba stejná jako v létě.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Novak!$P$3</c:f>
              <c:strCache>
                <c:ptCount val="1"/>
                <c:pt idx="0">
                  <c:v>podlahy kW</c:v>
                </c:pt>
              </c:strCache>
            </c:strRef>
          </c:tx>
          <c:xVal>
            <c:numRef>
              <c:f>Novak!$D$4:$D$47</c:f>
              <c:numCache>
                <c:formatCode>General</c:formatCode>
                <c:ptCount val="44"/>
                <c:pt idx="0">
                  <c:v>10.1</c:v>
                </c:pt>
                <c:pt idx="1">
                  <c:v>8.6999999999999993</c:v>
                </c:pt>
                <c:pt idx="2">
                  <c:v>1.9</c:v>
                </c:pt>
                <c:pt idx="3">
                  <c:v>-0.8</c:v>
                </c:pt>
                <c:pt idx="4">
                  <c:v>0.3</c:v>
                </c:pt>
                <c:pt idx="5">
                  <c:v>-5.7</c:v>
                </c:pt>
                <c:pt idx="6">
                  <c:v>-1.6</c:v>
                </c:pt>
                <c:pt idx="7">
                  <c:v>10.3</c:v>
                </c:pt>
                <c:pt idx="8">
                  <c:v>13.7</c:v>
                </c:pt>
                <c:pt idx="9">
                  <c:v>14.9</c:v>
                </c:pt>
                <c:pt idx="10">
                  <c:v>17.7</c:v>
                </c:pt>
                <c:pt idx="11">
                  <c:v>17.899999999999999</c:v>
                </c:pt>
                <c:pt idx="12">
                  <c:v>12.8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-3.3</c:v>
                </c:pt>
                <c:pt idx="17">
                  <c:v>1.2</c:v>
                </c:pt>
                <c:pt idx="18">
                  <c:v>3.5</c:v>
                </c:pt>
                <c:pt idx="19">
                  <c:v>7.1</c:v>
                </c:pt>
                <c:pt idx="20">
                  <c:v>8</c:v>
                </c:pt>
                <c:pt idx="21">
                  <c:v>18.399999999999999</c:v>
                </c:pt>
                <c:pt idx="22">
                  <c:v>16.7</c:v>
                </c:pt>
                <c:pt idx="26">
                  <c:v>2.6</c:v>
                </c:pt>
                <c:pt idx="27">
                  <c:v>0.5</c:v>
                </c:pt>
                <c:pt idx="28">
                  <c:v>-0.3</c:v>
                </c:pt>
                <c:pt idx="29">
                  <c:v>1.6</c:v>
                </c:pt>
                <c:pt idx="30">
                  <c:v>1.1000000000000001</c:v>
                </c:pt>
                <c:pt idx="38">
                  <c:v>2.6</c:v>
                </c:pt>
                <c:pt idx="39">
                  <c:v>-0.7</c:v>
                </c:pt>
                <c:pt idx="40">
                  <c:v>-2.8</c:v>
                </c:pt>
                <c:pt idx="41">
                  <c:v>-2</c:v>
                </c:pt>
                <c:pt idx="42">
                  <c:v>-0.7</c:v>
                </c:pt>
              </c:numCache>
            </c:numRef>
          </c:xVal>
          <c:yVal>
            <c:numRef>
              <c:f>Novak!$P$4:$P$47</c:f>
              <c:numCache>
                <c:formatCode>General</c:formatCode>
                <c:ptCount val="44"/>
                <c:pt idx="2">
                  <c:v>0.18194444444444444</c:v>
                </c:pt>
                <c:pt idx="3">
                  <c:v>0.3</c:v>
                </c:pt>
                <c:pt idx="4">
                  <c:v>0.45833333333333331</c:v>
                </c:pt>
                <c:pt idx="5">
                  <c:v>0.59722222222222221</c:v>
                </c:pt>
                <c:pt idx="6">
                  <c:v>0.51388888888888895</c:v>
                </c:pt>
                <c:pt idx="14">
                  <c:v>0.3979166666666667</c:v>
                </c:pt>
                <c:pt idx="15">
                  <c:v>0.41875000000000001</c:v>
                </c:pt>
                <c:pt idx="16">
                  <c:v>0.75138888888888899</c:v>
                </c:pt>
                <c:pt idx="17">
                  <c:v>0.36527777777777781</c:v>
                </c:pt>
                <c:pt idx="18">
                  <c:v>0.30763888888888891</c:v>
                </c:pt>
                <c:pt idx="26">
                  <c:v>0.46111111111111108</c:v>
                </c:pt>
                <c:pt idx="27">
                  <c:v>0.47680555555555554</c:v>
                </c:pt>
                <c:pt idx="28">
                  <c:v>0.625</c:v>
                </c:pt>
                <c:pt idx="29">
                  <c:v>0.53888888888888886</c:v>
                </c:pt>
                <c:pt idx="38">
                  <c:v>0.11388888888888889</c:v>
                </c:pt>
                <c:pt idx="39">
                  <c:v>0.3972222222222222</c:v>
                </c:pt>
                <c:pt idx="40">
                  <c:v>0.65694444444444444</c:v>
                </c:pt>
                <c:pt idx="41">
                  <c:v>0.51944444444444449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F3B4-44FE-96BF-E3CC44F5DD0F}"/>
            </c:ext>
          </c:extLst>
        </c:ser>
        <c:ser>
          <c:idx val="1"/>
          <c:order val="1"/>
          <c:tx>
            <c:strRef>
              <c:f>Novak!$Q$3</c:f>
              <c:strCache>
                <c:ptCount val="1"/>
                <c:pt idx="0">
                  <c:v>kW topení elektřinou celkem</c:v>
                </c:pt>
              </c:strCache>
            </c:strRef>
          </c:tx>
          <c:xVal>
            <c:numRef>
              <c:f>Novak!$D$4:$D$47</c:f>
              <c:numCache>
                <c:formatCode>General</c:formatCode>
                <c:ptCount val="44"/>
                <c:pt idx="0">
                  <c:v>10.1</c:v>
                </c:pt>
                <c:pt idx="1">
                  <c:v>8.6999999999999993</c:v>
                </c:pt>
                <c:pt idx="2">
                  <c:v>1.9</c:v>
                </c:pt>
                <c:pt idx="3">
                  <c:v>-0.8</c:v>
                </c:pt>
                <c:pt idx="4">
                  <c:v>0.3</c:v>
                </c:pt>
                <c:pt idx="5">
                  <c:v>-5.7</c:v>
                </c:pt>
                <c:pt idx="6">
                  <c:v>-1.6</c:v>
                </c:pt>
                <c:pt idx="7">
                  <c:v>10.3</c:v>
                </c:pt>
                <c:pt idx="8">
                  <c:v>13.7</c:v>
                </c:pt>
                <c:pt idx="9">
                  <c:v>14.9</c:v>
                </c:pt>
                <c:pt idx="10">
                  <c:v>17.7</c:v>
                </c:pt>
                <c:pt idx="11">
                  <c:v>17.899999999999999</c:v>
                </c:pt>
                <c:pt idx="12">
                  <c:v>12.8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-3.3</c:v>
                </c:pt>
                <c:pt idx="17">
                  <c:v>1.2</c:v>
                </c:pt>
                <c:pt idx="18">
                  <c:v>3.5</c:v>
                </c:pt>
                <c:pt idx="19">
                  <c:v>7.1</c:v>
                </c:pt>
                <c:pt idx="20">
                  <c:v>8</c:v>
                </c:pt>
                <c:pt idx="21">
                  <c:v>18.399999999999999</c:v>
                </c:pt>
                <c:pt idx="22">
                  <c:v>16.7</c:v>
                </c:pt>
                <c:pt idx="26">
                  <c:v>2.6</c:v>
                </c:pt>
                <c:pt idx="27">
                  <c:v>0.5</c:v>
                </c:pt>
                <c:pt idx="28">
                  <c:v>-0.3</c:v>
                </c:pt>
                <c:pt idx="29">
                  <c:v>1.6</c:v>
                </c:pt>
                <c:pt idx="30">
                  <c:v>1.1000000000000001</c:v>
                </c:pt>
                <c:pt idx="38">
                  <c:v>2.6</c:v>
                </c:pt>
                <c:pt idx="39">
                  <c:v>-0.7</c:v>
                </c:pt>
                <c:pt idx="40">
                  <c:v>-2.8</c:v>
                </c:pt>
                <c:pt idx="41">
                  <c:v>-2</c:v>
                </c:pt>
                <c:pt idx="42">
                  <c:v>-0.7</c:v>
                </c:pt>
              </c:numCache>
            </c:numRef>
          </c:xVal>
          <c:yVal>
            <c:numRef>
              <c:f>Novak!$Q$4:$Q$47</c:f>
              <c:numCache>
                <c:formatCode>General</c:formatCode>
                <c:ptCount val="44"/>
                <c:pt idx="0">
                  <c:v>0.4055555555555555</c:v>
                </c:pt>
                <c:pt idx="1">
                  <c:v>0.4680555555555555</c:v>
                </c:pt>
                <c:pt idx="2">
                  <c:v>0.78888888888888886</c:v>
                </c:pt>
                <c:pt idx="3">
                  <c:v>1.1263888888888889</c:v>
                </c:pt>
                <c:pt idx="4">
                  <c:v>1.0944444444444443</c:v>
                </c:pt>
                <c:pt idx="5">
                  <c:v>1.1430555555555555</c:v>
                </c:pt>
                <c:pt idx="6">
                  <c:v>1.1055555555555556</c:v>
                </c:pt>
                <c:pt idx="7">
                  <c:v>0.45555555555555555</c:v>
                </c:pt>
                <c:pt idx="8">
                  <c:v>0.30694444444444441</c:v>
                </c:pt>
                <c:pt idx="9">
                  <c:v>0.3</c:v>
                </c:pt>
                <c:pt idx="10">
                  <c:v>0.26805555555555555</c:v>
                </c:pt>
                <c:pt idx="11">
                  <c:v>0.25972222222222224</c:v>
                </c:pt>
                <c:pt idx="12">
                  <c:v>0.2902777777777778</c:v>
                </c:pt>
                <c:pt idx="13">
                  <c:v>0.39305555555555555</c:v>
                </c:pt>
                <c:pt idx="14">
                  <c:v>0.84305555555555556</c:v>
                </c:pt>
                <c:pt idx="15">
                  <c:v>1.1333333333333333</c:v>
                </c:pt>
                <c:pt idx="16">
                  <c:v>1.3486111111111112</c:v>
                </c:pt>
                <c:pt idx="17">
                  <c:v>0.85972222222222217</c:v>
                </c:pt>
                <c:pt idx="18">
                  <c:v>0.83472222222222225</c:v>
                </c:pt>
                <c:pt idx="19">
                  <c:v>0.49722222222222223</c:v>
                </c:pt>
                <c:pt idx="20">
                  <c:v>0.47361111111111115</c:v>
                </c:pt>
                <c:pt idx="21">
                  <c:v>0.27638888888888891</c:v>
                </c:pt>
                <c:pt idx="22">
                  <c:v>0.29722222222222222</c:v>
                </c:pt>
                <c:pt idx="26">
                  <c:v>0.89444444444444438</c:v>
                </c:pt>
                <c:pt idx="27">
                  <c:v>1.0902777777777779</c:v>
                </c:pt>
                <c:pt idx="28">
                  <c:v>1.1402777777777777</c:v>
                </c:pt>
                <c:pt idx="29">
                  <c:v>1.0125</c:v>
                </c:pt>
                <c:pt idx="38">
                  <c:v>0.75</c:v>
                </c:pt>
                <c:pt idx="39">
                  <c:v>1.2388888888888889</c:v>
                </c:pt>
                <c:pt idx="40">
                  <c:v>1.3916666666666666</c:v>
                </c:pt>
                <c:pt idx="41">
                  <c:v>1.0958333333333334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F3B4-44FE-96BF-E3CC44F5DD0F}"/>
            </c:ext>
          </c:extLst>
        </c:ser>
        <c:ser>
          <c:idx val="2"/>
          <c:order val="2"/>
          <c:tx>
            <c:strRef>
              <c:f>Novak!$R$3</c:f>
              <c:strCache>
                <c:ptCount val="1"/>
                <c:pt idx="0">
                  <c:v>ekviterm pata 11°C</c:v>
                </c:pt>
              </c:strCache>
            </c:strRef>
          </c:tx>
          <c:xVal>
            <c:numRef>
              <c:f>Novak!$D$4:$D$47</c:f>
              <c:numCache>
                <c:formatCode>General</c:formatCode>
                <c:ptCount val="44"/>
                <c:pt idx="0">
                  <c:v>10.1</c:v>
                </c:pt>
                <c:pt idx="1">
                  <c:v>8.6999999999999993</c:v>
                </c:pt>
                <c:pt idx="2">
                  <c:v>1.9</c:v>
                </c:pt>
                <c:pt idx="3">
                  <c:v>-0.8</c:v>
                </c:pt>
                <c:pt idx="4">
                  <c:v>0.3</c:v>
                </c:pt>
                <c:pt idx="5">
                  <c:v>-5.7</c:v>
                </c:pt>
                <c:pt idx="6">
                  <c:v>-1.6</c:v>
                </c:pt>
                <c:pt idx="7">
                  <c:v>10.3</c:v>
                </c:pt>
                <c:pt idx="8">
                  <c:v>13.7</c:v>
                </c:pt>
                <c:pt idx="9">
                  <c:v>14.9</c:v>
                </c:pt>
                <c:pt idx="10">
                  <c:v>17.7</c:v>
                </c:pt>
                <c:pt idx="11">
                  <c:v>17.899999999999999</c:v>
                </c:pt>
                <c:pt idx="12">
                  <c:v>12.8</c:v>
                </c:pt>
                <c:pt idx="13">
                  <c:v>8</c:v>
                </c:pt>
                <c:pt idx="14">
                  <c:v>2</c:v>
                </c:pt>
                <c:pt idx="15">
                  <c:v>0</c:v>
                </c:pt>
                <c:pt idx="16">
                  <c:v>-3.3</c:v>
                </c:pt>
                <c:pt idx="17">
                  <c:v>1.2</c:v>
                </c:pt>
                <c:pt idx="18">
                  <c:v>3.5</c:v>
                </c:pt>
                <c:pt idx="19">
                  <c:v>7.1</c:v>
                </c:pt>
                <c:pt idx="20">
                  <c:v>8</c:v>
                </c:pt>
                <c:pt idx="21">
                  <c:v>18.399999999999999</c:v>
                </c:pt>
                <c:pt idx="22">
                  <c:v>16.7</c:v>
                </c:pt>
                <c:pt idx="26">
                  <c:v>2.6</c:v>
                </c:pt>
                <c:pt idx="27">
                  <c:v>0.5</c:v>
                </c:pt>
                <c:pt idx="28">
                  <c:v>-0.3</c:v>
                </c:pt>
                <c:pt idx="29">
                  <c:v>1.6</c:v>
                </c:pt>
                <c:pt idx="30">
                  <c:v>1.1000000000000001</c:v>
                </c:pt>
                <c:pt idx="38">
                  <c:v>2.6</c:v>
                </c:pt>
                <c:pt idx="39">
                  <c:v>-0.7</c:v>
                </c:pt>
                <c:pt idx="40">
                  <c:v>-2.8</c:v>
                </c:pt>
                <c:pt idx="41">
                  <c:v>-2</c:v>
                </c:pt>
                <c:pt idx="42">
                  <c:v>-0.7</c:v>
                </c:pt>
              </c:numCache>
            </c:numRef>
          </c:xVal>
          <c:yVal>
            <c:numRef>
              <c:f>Novak!$R$4:$R$47</c:f>
              <c:numCache>
                <c:formatCode>General</c:formatCode>
                <c:ptCount val="44"/>
                <c:pt idx="0">
                  <c:v>0.35933333333333339</c:v>
                </c:pt>
                <c:pt idx="1">
                  <c:v>0.46200000000000008</c:v>
                </c:pt>
                <c:pt idx="2">
                  <c:v>0.96066666666666667</c:v>
                </c:pt>
                <c:pt idx="3">
                  <c:v>1.1586666666666667</c:v>
                </c:pt>
                <c:pt idx="4">
                  <c:v>1.0780000000000001</c:v>
                </c:pt>
                <c:pt idx="5">
                  <c:v>1.518</c:v>
                </c:pt>
                <c:pt idx="6">
                  <c:v>1.2173333333333334</c:v>
                </c:pt>
                <c:pt idx="7">
                  <c:v>0.34466666666666668</c:v>
                </c:pt>
                <c:pt idx="8">
                  <c:v>9.5333333333333395E-2</c:v>
                </c:pt>
                <c:pt idx="9">
                  <c:v>7.3333333333333072E-3</c:v>
                </c:pt>
                <c:pt idx="12">
                  <c:v>0.1613333333333333</c:v>
                </c:pt>
                <c:pt idx="13">
                  <c:v>0.51333333333333342</c:v>
                </c:pt>
                <c:pt idx="14">
                  <c:v>0.95333333333333337</c:v>
                </c:pt>
                <c:pt idx="15">
                  <c:v>1.1000000000000001</c:v>
                </c:pt>
                <c:pt idx="16">
                  <c:v>1.3420000000000001</c:v>
                </c:pt>
                <c:pt idx="17">
                  <c:v>1.012</c:v>
                </c:pt>
                <c:pt idx="18">
                  <c:v>0.84333333333333338</c:v>
                </c:pt>
                <c:pt idx="19">
                  <c:v>0.57933333333333337</c:v>
                </c:pt>
                <c:pt idx="20">
                  <c:v>0.51333333333333342</c:v>
                </c:pt>
                <c:pt idx="26">
                  <c:v>0.90933333333333344</c:v>
                </c:pt>
                <c:pt idx="27">
                  <c:v>1.0633333333333335</c:v>
                </c:pt>
                <c:pt idx="28">
                  <c:v>1.1220000000000001</c:v>
                </c:pt>
                <c:pt idx="29">
                  <c:v>0.9826666666666668</c:v>
                </c:pt>
                <c:pt idx="38">
                  <c:v>0.90933333333333344</c:v>
                </c:pt>
                <c:pt idx="39">
                  <c:v>1.1513333333333333</c:v>
                </c:pt>
                <c:pt idx="40">
                  <c:v>1.3053333333333335</c:v>
                </c:pt>
                <c:pt idx="41">
                  <c:v>1.2466666666666668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F3B4-44FE-96BF-E3CC44F5DD0F}"/>
            </c:ext>
          </c:extLst>
        </c:ser>
        <c:axId val="118681600"/>
        <c:axId val="118683136"/>
      </c:scatterChart>
      <c:valAx>
        <c:axId val="118681600"/>
        <c:scaling>
          <c:orientation val="minMax"/>
        </c:scaling>
        <c:axPos val="b"/>
        <c:majorGridlines/>
        <c:minorGridlines/>
        <c:numFmt formatCode="General" sourceLinked="1"/>
        <c:tickLblPos val="nextTo"/>
        <c:crossAx val="118683136"/>
        <c:crosses val="autoZero"/>
        <c:crossBetween val="midCat"/>
      </c:valAx>
      <c:valAx>
        <c:axId val="118683136"/>
        <c:scaling>
          <c:orientation val="minMax"/>
        </c:scaling>
        <c:axPos val="l"/>
        <c:majorGridlines/>
        <c:numFmt formatCode="General" sourceLinked="1"/>
        <c:tickLblPos val="nextTo"/>
        <c:crossAx val="118681600"/>
        <c:crosses val="autoZero"/>
        <c:crossBetween val="midCat"/>
        <c:majorUnit val="0.1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jakino!$G$4</c:f>
              <c:strCache>
                <c:ptCount val="1"/>
                <c:pt idx="0">
                  <c:v>kW plyn</c:v>
                </c:pt>
              </c:strCache>
            </c:strRef>
          </c:tx>
          <c:xVal>
            <c:numRef>
              <c:f>jakino!$A$14:$A$27</c:f>
              <c:numCache>
                <c:formatCode>d/m/yy\ h:mm;@</c:formatCode>
                <c:ptCount val="14"/>
                <c:pt idx="0">
                  <c:v>42278.5</c:v>
                </c:pt>
                <c:pt idx="1">
                  <c:v>42309.5</c:v>
                </c:pt>
                <c:pt idx="2">
                  <c:v>42339.5</c:v>
                </c:pt>
                <c:pt idx="3">
                  <c:v>42370.5</c:v>
                </c:pt>
                <c:pt idx="4">
                  <c:v>42401.5</c:v>
                </c:pt>
                <c:pt idx="5">
                  <c:v>42430.5</c:v>
                </c:pt>
                <c:pt idx="6">
                  <c:v>42461.5</c:v>
                </c:pt>
                <c:pt idx="7">
                  <c:v>42491.5</c:v>
                </c:pt>
                <c:pt idx="8">
                  <c:v>42522.5</c:v>
                </c:pt>
                <c:pt idx="9">
                  <c:v>42552.5</c:v>
                </c:pt>
                <c:pt idx="10">
                  <c:v>42583.5</c:v>
                </c:pt>
                <c:pt idx="11">
                  <c:v>42614.5</c:v>
                </c:pt>
                <c:pt idx="12">
                  <c:v>42644.5</c:v>
                </c:pt>
                <c:pt idx="13">
                  <c:v>42675.5</c:v>
                </c:pt>
              </c:numCache>
            </c:numRef>
          </c:xVal>
          <c:yVal>
            <c:numRef>
              <c:f>jakino!$G$14:$G$27</c:f>
              <c:numCache>
                <c:formatCode>General</c:formatCode>
                <c:ptCount val="14"/>
                <c:pt idx="0">
                  <c:v>0</c:v>
                </c:pt>
                <c:pt idx="1">
                  <c:v>0.96002777777777759</c:v>
                </c:pt>
                <c:pt idx="2">
                  <c:v>1.5247499999999996</c:v>
                </c:pt>
                <c:pt idx="3">
                  <c:v>2.2024166666666662</c:v>
                </c:pt>
                <c:pt idx="4">
                  <c:v>2.9690270833333354</c:v>
                </c:pt>
                <c:pt idx="5">
                  <c:v>2.0386472222222172</c:v>
                </c:pt>
                <c:pt idx="6">
                  <c:v>1.7012256944444444</c:v>
                </c:pt>
                <c:pt idx="7">
                  <c:v>0.63813611111110835</c:v>
                </c:pt>
                <c:pt idx="8">
                  <c:v>0.27530208333333328</c:v>
                </c:pt>
                <c:pt idx="9">
                  <c:v>0.14823958333333331</c:v>
                </c:pt>
                <c:pt idx="10">
                  <c:v>0.17506388888889657</c:v>
                </c:pt>
                <c:pt idx="11">
                  <c:v>0.16800486111110599</c:v>
                </c:pt>
                <c:pt idx="12">
                  <c:v>0.16518124999999745</c:v>
                </c:pt>
                <c:pt idx="13">
                  <c:v>1.2790958333333382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A70-4789-A8B8-C23859D7FE33}"/>
            </c:ext>
          </c:extLst>
        </c:ser>
        <c:ser>
          <c:idx val="1"/>
          <c:order val="1"/>
          <c:tx>
            <c:strRef>
              <c:f>jakino!$H$4</c:f>
              <c:strCache>
                <c:ptCount val="1"/>
                <c:pt idx="0">
                  <c:v>kW ztráty</c:v>
                </c:pt>
              </c:strCache>
            </c:strRef>
          </c:tx>
          <c:xVal>
            <c:numRef>
              <c:f>jakino!$A$14:$A$27</c:f>
              <c:numCache>
                <c:formatCode>d/m/yy\ h:mm;@</c:formatCode>
                <c:ptCount val="14"/>
                <c:pt idx="0">
                  <c:v>42278.5</c:v>
                </c:pt>
                <c:pt idx="1">
                  <c:v>42309.5</c:v>
                </c:pt>
                <c:pt idx="2">
                  <c:v>42339.5</c:v>
                </c:pt>
                <c:pt idx="3">
                  <c:v>42370.5</c:v>
                </c:pt>
                <c:pt idx="4">
                  <c:v>42401.5</c:v>
                </c:pt>
                <c:pt idx="5">
                  <c:v>42430.5</c:v>
                </c:pt>
                <c:pt idx="6">
                  <c:v>42461.5</c:v>
                </c:pt>
                <c:pt idx="7">
                  <c:v>42491.5</c:v>
                </c:pt>
                <c:pt idx="8">
                  <c:v>42522.5</c:v>
                </c:pt>
                <c:pt idx="9">
                  <c:v>42552.5</c:v>
                </c:pt>
                <c:pt idx="10">
                  <c:v>42583.5</c:v>
                </c:pt>
                <c:pt idx="11">
                  <c:v>42614.5</c:v>
                </c:pt>
                <c:pt idx="12">
                  <c:v>42644.5</c:v>
                </c:pt>
                <c:pt idx="13">
                  <c:v>42675.5</c:v>
                </c:pt>
              </c:numCache>
            </c:numRef>
          </c:xVal>
          <c:yVal>
            <c:numRef>
              <c:f>jakino!$H$14:$H$27</c:f>
              <c:numCache>
                <c:formatCode>General</c:formatCode>
                <c:ptCount val="14"/>
                <c:pt idx="0">
                  <c:v>0.184</c:v>
                </c:pt>
                <c:pt idx="1">
                  <c:v>0.96133333333333337</c:v>
                </c:pt>
                <c:pt idx="2">
                  <c:v>1.615</c:v>
                </c:pt>
                <c:pt idx="3">
                  <c:v>2.2156666666666669</c:v>
                </c:pt>
                <c:pt idx="4">
                  <c:v>2.9929999999999999</c:v>
                </c:pt>
                <c:pt idx="5">
                  <c:v>1.9329999999999998</c:v>
                </c:pt>
                <c:pt idx="6">
                  <c:v>1.6856666666666664</c:v>
                </c:pt>
                <c:pt idx="7">
                  <c:v>0.71399999999999997</c:v>
                </c:pt>
                <c:pt idx="8">
                  <c:v>0.184</c:v>
                </c:pt>
                <c:pt idx="9">
                  <c:v>0.184</c:v>
                </c:pt>
                <c:pt idx="10">
                  <c:v>0.184</c:v>
                </c:pt>
                <c:pt idx="11">
                  <c:v>0.184</c:v>
                </c:pt>
                <c:pt idx="12">
                  <c:v>0.184</c:v>
                </c:pt>
                <c:pt idx="13">
                  <c:v>1.085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A70-4789-A8B8-C23859D7FE33}"/>
            </c:ext>
          </c:extLst>
        </c:ser>
        <c:axId val="148551552"/>
        <c:axId val="148553088"/>
      </c:scatterChart>
      <c:valAx>
        <c:axId val="148551552"/>
        <c:scaling>
          <c:orientation val="minMax"/>
        </c:scaling>
        <c:axPos val="b"/>
        <c:majorGridlines/>
        <c:numFmt formatCode="d/m/yy\ h:mm;@" sourceLinked="1"/>
        <c:tickLblPos val="nextTo"/>
        <c:txPr>
          <a:bodyPr rot="-1620000"/>
          <a:lstStyle/>
          <a:p>
            <a:pPr>
              <a:defRPr/>
            </a:pPr>
            <a:endParaRPr lang="cs-CZ"/>
          </a:p>
        </c:txPr>
        <c:crossAx val="148553088"/>
        <c:crosses val="autoZero"/>
        <c:crossBetween val="midCat"/>
        <c:majorUnit val="90"/>
      </c:valAx>
      <c:valAx>
        <c:axId val="148553088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14855155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clustered"/>
        <c:ser>
          <c:idx val="0"/>
          <c:order val="0"/>
          <c:val>
            <c:numRef>
              <c:f>ds!$C$11:$C$14</c:f>
              <c:numCache>
                <c:formatCode>General</c:formatCode>
                <c:ptCount val="4"/>
                <c:pt idx="0">
                  <c:v>100.324166666666</c:v>
                </c:pt>
                <c:pt idx="1">
                  <c:v>109.74333333333337</c:v>
                </c:pt>
                <c:pt idx="2">
                  <c:v>101.11333333333347</c:v>
                </c:pt>
                <c:pt idx="3">
                  <c:v>97.349166666666576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E9-4096-AEFF-58F8EA55CAEA}"/>
            </c:ext>
          </c:extLst>
        </c:ser>
        <c:ser>
          <c:idx val="1"/>
          <c:order val="1"/>
          <c:val>
            <c:numRef>
              <c:f>ds!$D$11:$D$14</c:f>
              <c:numCache>
                <c:formatCode>General</c:formatCode>
                <c:ptCount val="4"/>
                <c:pt idx="0">
                  <c:v>90.799166666666622</c:v>
                </c:pt>
                <c:pt idx="1">
                  <c:v>100.50000000000014</c:v>
                </c:pt>
                <c:pt idx="2">
                  <c:v>91.98333333333315</c:v>
                </c:pt>
                <c:pt idx="3">
                  <c:v>88.359999999999857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E9-4096-AEFF-58F8EA55CAEA}"/>
            </c:ext>
          </c:extLst>
        </c:ser>
        <c:ser>
          <c:idx val="2"/>
          <c:order val="2"/>
          <c:val>
            <c:numRef>
              <c:f>ds!$E$11:$E$14</c:f>
              <c:numCache>
                <c:formatCode>General</c:formatCode>
                <c:ptCount val="4"/>
                <c:pt idx="0">
                  <c:v>81.74583333333365</c:v>
                </c:pt>
                <c:pt idx="1">
                  <c:v>91.760833333333451</c:v>
                </c:pt>
                <c:pt idx="2">
                  <c:v>83.349166666666605</c:v>
                </c:pt>
                <c:pt idx="3">
                  <c:v>79.829166666666893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3E9-4096-AEFF-58F8EA55CAEA}"/>
            </c:ext>
          </c:extLst>
        </c:ser>
        <c:ser>
          <c:idx val="3"/>
          <c:order val="3"/>
          <c:val>
            <c:numRef>
              <c:f>ds!$F$11:$F$14</c:f>
              <c:numCache>
                <c:formatCode>General</c:formatCode>
                <c:ptCount val="4"/>
                <c:pt idx="0">
                  <c:v>73.182499999999578</c:v>
                </c:pt>
                <c:pt idx="1">
                  <c:v>83.436666666666625</c:v>
                </c:pt>
                <c:pt idx="2">
                  <c:v>75.189166666666694</c:v>
                </c:pt>
                <c:pt idx="3">
                  <c:v>71.632499999999936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3E9-4096-AEFF-58F8EA55CAEA}"/>
            </c:ext>
          </c:extLst>
        </c:ser>
        <c:ser>
          <c:idx val="4"/>
          <c:order val="4"/>
          <c:val>
            <c:numRef>
              <c:f>ds!$G$11:$G$14</c:f>
              <c:numCache>
                <c:formatCode>General</c:formatCode>
                <c:ptCount val="4"/>
                <c:pt idx="0">
                  <c:v>65.059166666666698</c:v>
                </c:pt>
                <c:pt idx="1">
                  <c:v>75.462500000000077</c:v>
                </c:pt>
                <c:pt idx="2">
                  <c:v>67.497499999999974</c:v>
                </c:pt>
                <c:pt idx="3">
                  <c:v>63.771666666666441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3E9-4096-AEFF-58F8EA55CAEA}"/>
            </c:ext>
          </c:extLst>
        </c:ser>
        <c:ser>
          <c:idx val="5"/>
          <c:order val="5"/>
          <c:val>
            <c:numRef>
              <c:f>ds!$H$11:$H$14</c:f>
              <c:numCache>
                <c:formatCode>General</c:formatCode>
                <c:ptCount val="4"/>
                <c:pt idx="0">
                  <c:v>57.374166666666781</c:v>
                </c:pt>
                <c:pt idx="1">
                  <c:v>67.881666666666817</c:v>
                </c:pt>
                <c:pt idx="2">
                  <c:v>60.370833333333223</c:v>
                </c:pt>
                <c:pt idx="3">
                  <c:v>56.354166666666764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3E9-4096-AEFF-58F8EA55CAEA}"/>
            </c:ext>
          </c:extLst>
        </c:ser>
        <c:axId val="149849984"/>
        <c:axId val="149851520"/>
      </c:barChart>
      <c:catAx>
        <c:axId val="149849984"/>
        <c:scaling>
          <c:orientation val="minMax"/>
        </c:scaling>
        <c:axPos val="b"/>
        <c:tickLblPos val="nextTo"/>
        <c:crossAx val="149851520"/>
        <c:crosses val="autoZero"/>
        <c:auto val="1"/>
        <c:lblAlgn val="ctr"/>
        <c:lblOffset val="100"/>
      </c:catAx>
      <c:valAx>
        <c:axId val="149851520"/>
        <c:scaling>
          <c:orientation val="minMax"/>
        </c:scaling>
        <c:axPos val="l"/>
        <c:majorGridlines/>
        <c:numFmt formatCode="General" sourceLinked="1"/>
        <c:tickLblPos val="nextTo"/>
        <c:crossAx val="149849984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clustered"/>
        <c:ser>
          <c:idx val="0"/>
          <c:order val="0"/>
          <c:val>
            <c:numRef>
              <c:f>ds!$J$11:$J$14</c:f>
              <c:numCache>
                <c:formatCode>General</c:formatCode>
                <c:ptCount val="4"/>
                <c:pt idx="0">
                  <c:v>1.0995522846771806</c:v>
                </c:pt>
                <c:pt idx="1">
                  <c:v>1.0883804635057555</c:v>
                </c:pt>
                <c:pt idx="2">
                  <c:v>1.0954374629129036</c:v>
                </c:pt>
                <c:pt idx="3">
                  <c:v>1.0960802609164633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0C-4FAA-B4D9-CF132C4AF041}"/>
            </c:ext>
          </c:extLst>
        </c:ser>
        <c:ser>
          <c:idx val="1"/>
          <c:order val="1"/>
          <c:val>
            <c:numRef>
              <c:f>ds!$K$11:$K$14</c:f>
              <c:numCache>
                <c:formatCode>General</c:formatCode>
                <c:ptCount val="4"/>
                <c:pt idx="0">
                  <c:v>1.1049018438128035</c:v>
                </c:pt>
                <c:pt idx="1">
                  <c:v>1.0919734660033156</c:v>
                </c:pt>
                <c:pt idx="2">
                  <c:v>1.0992571117956189</c:v>
                </c:pt>
                <c:pt idx="3">
                  <c:v>1.1017334389618236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0C-4FAA-B4D9-CF132C4AF041}"/>
            </c:ext>
          </c:extLst>
        </c:ser>
        <c:ser>
          <c:idx val="2"/>
          <c:order val="2"/>
          <c:val>
            <c:numRef>
              <c:f>ds!$L$11:$L$14</c:f>
              <c:numCache>
                <c:formatCode>General</c:formatCode>
                <c:ptCount val="4"/>
                <c:pt idx="0">
                  <c:v>1.1107497833732558</c:v>
                </c:pt>
                <c:pt idx="1">
                  <c:v>1.0952385276942778</c:v>
                </c:pt>
                <c:pt idx="2">
                  <c:v>1.1035903178396091</c:v>
                </c:pt>
                <c:pt idx="3">
                  <c:v>1.106863615011217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0C-4FAA-B4D9-CF132C4AF041}"/>
            </c:ext>
          </c:extLst>
        </c:ser>
        <c:ser>
          <c:idx val="3"/>
          <c:order val="3"/>
          <c:val>
            <c:numRef>
              <c:f>ds!$M$11:$M$14</c:f>
              <c:numCache>
                <c:formatCode>General</c:formatCode>
                <c:ptCount val="4"/>
                <c:pt idx="0">
                  <c:v>1.1170134025666536</c:v>
                </c:pt>
                <c:pt idx="1">
                  <c:v>1.0997662898006491</c:v>
                </c:pt>
                <c:pt idx="2">
                  <c:v>1.1085262726234928</c:v>
                </c:pt>
                <c:pt idx="3">
                  <c:v>1.1144266452611169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E0C-4FAA-B4D9-CF132C4AF041}"/>
            </c:ext>
          </c:extLst>
        </c:ser>
        <c:ser>
          <c:idx val="4"/>
          <c:order val="4"/>
          <c:val>
            <c:numRef>
              <c:f>ds!$N$11:$N$14</c:f>
              <c:numCache>
                <c:formatCode>General</c:formatCode>
                <c:ptCount val="4"/>
                <c:pt idx="0">
                  <c:v>1.1248607037184031</c:v>
                </c:pt>
                <c:pt idx="1">
                  <c:v>1.1056705869361145</c:v>
                </c:pt>
                <c:pt idx="2">
                  <c:v>1.1139548378335009</c:v>
                </c:pt>
                <c:pt idx="3">
                  <c:v>1.1232652954551423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E0C-4FAA-B4D9-CF132C4AF041}"/>
            </c:ext>
          </c:extLst>
        </c:ser>
        <c:ser>
          <c:idx val="5"/>
          <c:order val="5"/>
          <c:val>
            <c:numRef>
              <c:f>ds!$O$11:$O$14</c:f>
              <c:numCache>
                <c:formatCode>General</c:formatCode>
                <c:ptCount val="4"/>
                <c:pt idx="0">
                  <c:v>1.1339453005853373</c:v>
                </c:pt>
                <c:pt idx="1">
                  <c:v>1.1116771833337411</c:v>
                </c:pt>
                <c:pt idx="2">
                  <c:v>1.1180481744771913</c:v>
                </c:pt>
                <c:pt idx="3">
                  <c:v>1.1316229205175541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E0C-4FAA-B4D9-CF132C4AF041}"/>
            </c:ext>
          </c:extLst>
        </c:ser>
        <c:axId val="149899520"/>
        <c:axId val="149913600"/>
      </c:barChart>
      <c:catAx>
        <c:axId val="149899520"/>
        <c:scaling>
          <c:orientation val="minMax"/>
        </c:scaling>
        <c:axPos val="b"/>
        <c:tickLblPos val="nextTo"/>
        <c:crossAx val="149913600"/>
        <c:crosses val="autoZero"/>
        <c:auto val="1"/>
        <c:lblAlgn val="ctr"/>
        <c:lblOffset val="100"/>
      </c:catAx>
      <c:valAx>
        <c:axId val="149913600"/>
        <c:scaling>
          <c:orientation val="minMax"/>
        </c:scaling>
        <c:axPos val="l"/>
        <c:majorGridlines/>
        <c:numFmt formatCode="General" sourceLinked="1"/>
        <c:tickLblPos val="nextTo"/>
        <c:crossAx val="149899520"/>
        <c:crosses val="autoZero"/>
        <c:crossBetween val="between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 sz="1000" baseline="0"/>
              <a:t>denostupně / pata °C</a:t>
            </a:r>
            <a:endParaRPr lang="en-US" sz="1000" baseline="0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ds!$A$30</c:f>
              <c:strCache>
                <c:ptCount val="1"/>
                <c:pt idx="0">
                  <c:v>sez 15/16</c:v>
                </c:pt>
              </c:strCache>
            </c:strRef>
          </c:tx>
          <c:xVal>
            <c:numRef>
              <c:f>ds!$B$29:$J$29</c:f>
              <c:numCache>
                <c:formatCode>General</c:formatCode>
                <c:ptCount val="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</c:numCache>
            </c:numRef>
          </c:xVal>
          <c:yVal>
            <c:numRef>
              <c:f>ds!$B$30:$J$30</c:f>
              <c:numCache>
                <c:formatCode>General</c:formatCode>
                <c:ptCount val="9"/>
                <c:pt idx="0">
                  <c:v>3254.5200000000009</c:v>
                </c:pt>
                <c:pt idx="1">
                  <c:v>2951.6800000000021</c:v>
                </c:pt>
                <c:pt idx="2">
                  <c:v>2666.1200000000017</c:v>
                </c:pt>
                <c:pt idx="3">
                  <c:v>2403.7400000000016</c:v>
                </c:pt>
                <c:pt idx="4">
                  <c:v>2151.8000000000011</c:v>
                </c:pt>
                <c:pt idx="5">
                  <c:v>1907.2600000000002</c:v>
                </c:pt>
                <c:pt idx="6">
                  <c:v>1671.96</c:v>
                </c:pt>
                <c:pt idx="7">
                  <c:v>1452.3999999999999</c:v>
                </c:pt>
                <c:pt idx="8">
                  <c:v>1244.5800000000002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CD4-4A64-B8E6-55F3305523AE}"/>
            </c:ext>
          </c:extLst>
        </c:ser>
        <c:ser>
          <c:idx val="1"/>
          <c:order val="1"/>
          <c:tx>
            <c:strRef>
              <c:f>ds!$A$31</c:f>
              <c:strCache>
                <c:ptCount val="1"/>
                <c:pt idx="0">
                  <c:v>sez 16/17</c:v>
                </c:pt>
              </c:strCache>
            </c:strRef>
          </c:tx>
          <c:xVal>
            <c:numRef>
              <c:f>ds!$B$29:$J$29</c:f>
              <c:numCache>
                <c:formatCode>General</c:formatCode>
                <c:ptCount val="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</c:numCache>
            </c:numRef>
          </c:xVal>
          <c:yVal>
            <c:numRef>
              <c:f>ds!$B$31:$J$31</c:f>
              <c:numCache>
                <c:formatCode>General</c:formatCode>
                <c:ptCount val="9"/>
                <c:pt idx="0">
                  <c:v>3500.8800000000015</c:v>
                </c:pt>
                <c:pt idx="1">
                  <c:v>3214.7600000000011</c:v>
                </c:pt>
                <c:pt idx="2">
                  <c:v>2949.360000000001</c:v>
                </c:pt>
                <c:pt idx="3">
                  <c:v>2699.5000000000009</c:v>
                </c:pt>
                <c:pt idx="4">
                  <c:v>2462.5000000000009</c:v>
                </c:pt>
                <c:pt idx="5">
                  <c:v>2231.0399999999995</c:v>
                </c:pt>
                <c:pt idx="6">
                  <c:v>2003.9999999999986</c:v>
                </c:pt>
                <c:pt idx="7">
                  <c:v>1785.0599999999988</c:v>
                </c:pt>
                <c:pt idx="8">
                  <c:v>1571.5199999999991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2CD4-4A64-B8E6-55F3305523AE}"/>
            </c:ext>
          </c:extLst>
        </c:ser>
        <c:ser>
          <c:idx val="2"/>
          <c:order val="2"/>
          <c:tx>
            <c:strRef>
              <c:f>ds!$A$32</c:f>
              <c:strCache>
                <c:ptCount val="1"/>
                <c:pt idx="0">
                  <c:v>sez 17/18</c:v>
                </c:pt>
              </c:strCache>
            </c:strRef>
          </c:tx>
          <c:xVal>
            <c:numRef>
              <c:f>ds!$B$29:$J$29</c:f>
              <c:numCache>
                <c:formatCode>General</c:formatCode>
                <c:ptCount val="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</c:numCache>
            </c:numRef>
          </c:xVal>
          <c:yVal>
            <c:numRef>
              <c:f>ds!$B$32:$J$32</c:f>
              <c:numCache>
                <c:formatCode>General</c:formatCode>
                <c:ptCount val="9"/>
                <c:pt idx="0">
                  <c:v>3259.4799999999987</c:v>
                </c:pt>
                <c:pt idx="1">
                  <c:v>2967.3999999999987</c:v>
                </c:pt>
                <c:pt idx="2">
                  <c:v>2694.4799999999977</c:v>
                </c:pt>
                <c:pt idx="3">
                  <c:v>2436.0799999999972</c:v>
                </c:pt>
                <c:pt idx="4">
                  <c:v>2192.0199999999977</c:v>
                </c:pt>
                <c:pt idx="5">
                  <c:v>1969.2799999999997</c:v>
                </c:pt>
                <c:pt idx="6">
                  <c:v>1763.44</c:v>
                </c:pt>
                <c:pt idx="7">
                  <c:v>1567.1999999999998</c:v>
                </c:pt>
                <c:pt idx="8">
                  <c:v>1382.72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2CD4-4A64-B8E6-55F3305523AE}"/>
            </c:ext>
          </c:extLst>
        </c:ser>
        <c:ser>
          <c:idx val="3"/>
          <c:order val="3"/>
          <c:tx>
            <c:strRef>
              <c:f>ds!$A$33</c:f>
              <c:strCache>
                <c:ptCount val="1"/>
                <c:pt idx="0">
                  <c:v>sez 18/19</c:v>
                </c:pt>
              </c:strCache>
            </c:strRef>
          </c:tx>
          <c:xVal>
            <c:numRef>
              <c:f>ds!$B$29:$J$29</c:f>
              <c:numCache>
                <c:formatCode>General</c:formatCode>
                <c:ptCount val="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</c:numCache>
            </c:numRef>
          </c:xVal>
          <c:yVal>
            <c:numRef>
              <c:f>ds!$B$33:$J$33</c:f>
              <c:numCache>
                <c:formatCode>General</c:formatCode>
                <c:ptCount val="9"/>
                <c:pt idx="0">
                  <c:v>3147.3199999999993</c:v>
                </c:pt>
                <c:pt idx="1">
                  <c:v>2867.7799999999993</c:v>
                </c:pt>
                <c:pt idx="2">
                  <c:v>2602.2599999999984</c:v>
                </c:pt>
                <c:pt idx="3">
                  <c:v>2349.2999999999988</c:v>
                </c:pt>
                <c:pt idx="4">
                  <c:v>2103.0599999999995</c:v>
                </c:pt>
                <c:pt idx="5">
                  <c:v>1867.4199999999998</c:v>
                </c:pt>
                <c:pt idx="6">
                  <c:v>1641.2199999999993</c:v>
                </c:pt>
                <c:pt idx="7">
                  <c:v>1423.0799999999995</c:v>
                </c:pt>
                <c:pt idx="8">
                  <c:v>1214.8800000000001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2CD4-4A64-B8E6-55F3305523AE}"/>
            </c:ext>
          </c:extLst>
        </c:ser>
        <c:ser>
          <c:idx val="4"/>
          <c:order val="4"/>
          <c:tx>
            <c:strRef>
              <c:f>ds!$A$34</c:f>
              <c:strCache>
                <c:ptCount val="1"/>
                <c:pt idx="0">
                  <c:v>teoret</c:v>
                </c:pt>
              </c:strCache>
            </c:strRef>
          </c:tx>
          <c:xVal>
            <c:numRef>
              <c:f>ds!$B$29:$J$29</c:f>
              <c:numCache>
                <c:formatCode>General</c:formatCode>
                <c:ptCount val="9"/>
                <c:pt idx="0">
                  <c:v>19</c:v>
                </c:pt>
                <c:pt idx="1">
                  <c:v>18</c:v>
                </c:pt>
                <c:pt idx="2">
                  <c:v>17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12</c:v>
                </c:pt>
                <c:pt idx="8">
                  <c:v>11</c:v>
                </c:pt>
              </c:numCache>
            </c:numRef>
          </c:xVal>
          <c:yVal>
            <c:numRef>
              <c:f>ds!$B$34:$J$34</c:f>
              <c:numCache>
                <c:formatCode>General</c:formatCode>
                <c:ptCount val="9"/>
                <c:pt idx="0">
                  <c:v>3255.3046172268009</c:v>
                </c:pt>
                <c:pt idx="1">
                  <c:v>2966.776953062682</c:v>
                </c:pt>
                <c:pt idx="2">
                  <c:v>2695.0307626808662</c:v>
                </c:pt>
                <c:pt idx="3">
                  <c:v>2437.9668128934427</c:v>
                </c:pt>
                <c:pt idx="4">
                  <c:v>2194.2891999748199</c:v>
                </c:pt>
                <c:pt idx="5">
                  <c:v>1963.1841983065503</c:v>
                </c:pt>
                <c:pt idx="6">
                  <c:v>1744.0752291226295</c:v>
                </c:pt>
                <c:pt idx="7">
                  <c:v>1536.5756692133973</c:v>
                </c:pt>
                <c:pt idx="8">
                  <c:v>1340.3890628278771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2CD4-4A64-B8E6-55F3305523AE}"/>
            </c:ext>
          </c:extLst>
        </c:ser>
        <c:axId val="150013824"/>
        <c:axId val="150015360"/>
      </c:scatterChart>
      <c:valAx>
        <c:axId val="150013824"/>
        <c:scaling>
          <c:orientation val="minMax"/>
          <c:max val="19"/>
          <c:min val="11"/>
        </c:scaling>
        <c:axPos val="b"/>
        <c:numFmt formatCode="General" sourceLinked="1"/>
        <c:tickLblPos val="nextTo"/>
        <c:crossAx val="150015360"/>
        <c:crosses val="autoZero"/>
        <c:crossBetween val="midCat"/>
      </c:valAx>
      <c:valAx>
        <c:axId val="150015360"/>
        <c:scaling>
          <c:orientation val="minMax"/>
        </c:scaling>
        <c:axPos val="l"/>
        <c:majorGridlines/>
        <c:numFmt formatCode="General" sourceLinked="1"/>
        <c:tickLblPos val="nextTo"/>
        <c:crossAx val="15001382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clustered"/>
        <c:ser>
          <c:idx val="0"/>
          <c:order val="0"/>
          <c:val>
            <c:numRef>
              <c:f>ds!$B$37:$H$37</c:f>
              <c:numCache>
                <c:formatCode>General</c:formatCode>
                <c:ptCount val="7"/>
                <c:pt idx="0">
                  <c:v>29.502953752247382</c:v>
                </c:pt>
                <c:pt idx="1">
                  <c:v>29.421425545523476</c:v>
                </c:pt>
                <c:pt idx="2">
                  <c:v>29.362824548683484</c:v>
                </c:pt>
                <c:pt idx="3">
                  <c:v>29.405046128752645</c:v>
                </c:pt>
                <c:pt idx="4">
                  <c:v>29.403204317972378</c:v>
                </c:pt>
                <c:pt idx="5">
                  <c:v>29.315776664830722</c:v>
                </c:pt>
                <c:pt idx="6">
                  <c:v>29.141338291042658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BB-4B72-9D86-2CE14EDAE2F6}"/>
            </c:ext>
          </c:extLst>
        </c:ser>
        <c:ser>
          <c:idx val="1"/>
          <c:order val="1"/>
          <c:val>
            <c:numRef>
              <c:f>ds!$B$38:$H$38</c:f>
              <c:numCache>
                <c:formatCode>General</c:formatCode>
                <c:ptCount val="7"/>
                <c:pt idx="0">
                  <c:v>29.310170165560848</c:v>
                </c:pt>
                <c:pt idx="1">
                  <c:v>29.29344227439784</c:v>
                </c:pt>
                <c:pt idx="2">
                  <c:v>29.346865671641758</c:v>
                </c:pt>
                <c:pt idx="3">
                  <c:v>29.418869706574128</c:v>
                </c:pt>
                <c:pt idx="4">
                  <c:v>29.513403379809063</c:v>
                </c:pt>
                <c:pt idx="5">
                  <c:v>29.56488322014242</c:v>
                </c:pt>
                <c:pt idx="6">
                  <c:v>29.521962238208562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BB-4B72-9D86-2CE14EDAE2F6}"/>
            </c:ext>
          </c:extLst>
        </c:ser>
        <c:ser>
          <c:idx val="2"/>
          <c:order val="2"/>
          <c:val>
            <c:numRef>
              <c:f>ds!$B$39:$H$39</c:f>
              <c:numCache>
                <c:formatCode>General</c:formatCode>
                <c:ptCount val="7"/>
                <c:pt idx="0">
                  <c:v>29.427427849167827</c:v>
                </c:pt>
                <c:pt idx="1">
                  <c:v>29.347267093030869</c:v>
                </c:pt>
                <c:pt idx="2">
                  <c:v>29.293132813915598</c:v>
                </c:pt>
                <c:pt idx="3">
                  <c:v>29.227406792709374</c:v>
                </c:pt>
                <c:pt idx="4">
                  <c:v>29.153401975018525</c:v>
                </c:pt>
                <c:pt idx="5">
                  <c:v>29.175599096262832</c:v>
                </c:pt>
                <c:pt idx="6">
                  <c:v>29.210131824142508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BB-4B72-9D86-2CE14EDAE2F6}"/>
            </c:ext>
          </c:extLst>
        </c:ser>
        <c:ser>
          <c:idx val="3"/>
          <c:order val="3"/>
          <c:val>
            <c:numRef>
              <c:f>ds!$B$40:$H$40</c:f>
              <c:numCache>
                <c:formatCode>General</c:formatCode>
                <c:ptCount val="7"/>
                <c:pt idx="0">
                  <c:v>29.496216114898846</c:v>
                </c:pt>
                <c:pt idx="1">
                  <c:v>29.458701067463362</c:v>
                </c:pt>
                <c:pt idx="2">
                  <c:v>29.450656405613429</c:v>
                </c:pt>
                <c:pt idx="3">
                  <c:v>29.429093376480928</c:v>
                </c:pt>
                <c:pt idx="4">
                  <c:v>29.359019997905996</c:v>
                </c:pt>
                <c:pt idx="5">
                  <c:v>29.282910383399209</c:v>
                </c:pt>
                <c:pt idx="6">
                  <c:v>29.123312384473135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BB-4B72-9D86-2CE14EDAE2F6}"/>
            </c:ext>
          </c:extLst>
        </c:ser>
        <c:axId val="150070784"/>
        <c:axId val="150072320"/>
      </c:barChart>
      <c:catAx>
        <c:axId val="150070784"/>
        <c:scaling>
          <c:orientation val="minMax"/>
        </c:scaling>
        <c:axPos val="b"/>
        <c:tickLblPos val="nextTo"/>
        <c:crossAx val="150072320"/>
        <c:crosses val="autoZero"/>
        <c:auto val="1"/>
        <c:lblAlgn val="ctr"/>
        <c:lblOffset val="100"/>
      </c:catAx>
      <c:valAx>
        <c:axId val="150072320"/>
        <c:scaling>
          <c:orientation val="minMax"/>
        </c:scaling>
        <c:axPos val="l"/>
        <c:majorGridlines/>
        <c:numFmt formatCode="General" sourceLinked="1"/>
        <c:tickLblPos val="nextTo"/>
        <c:crossAx val="1500707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cs-CZ"/>
              <a:t>kWh</a:t>
            </a:r>
            <a:r>
              <a:rPr lang="cs-CZ" baseline="0"/>
              <a:t> suma</a:t>
            </a:r>
            <a:endParaRPr lang="cs-CZ"/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'ds vypočet'!$J$1</c:f>
              <c:strCache>
                <c:ptCount val="1"/>
                <c:pt idx="0">
                  <c:v>0,25</c:v>
                </c:pt>
              </c:strCache>
            </c:strRef>
          </c:tx>
          <c:marker>
            <c:symbol val="none"/>
          </c:marker>
          <c:xVal>
            <c:numRef>
              <c:f>'ds vypočet'!$B$6:$B$2678</c:f>
              <c:numCache>
                <c:formatCode>dd/mm/yyyy</c:formatCode>
                <c:ptCount val="2673"/>
                <c:pt idx="0">
                  <c:v>42099</c:v>
                </c:pt>
                <c:pt idx="1">
                  <c:v>42100</c:v>
                </c:pt>
                <c:pt idx="2">
                  <c:v>42101</c:v>
                </c:pt>
                <c:pt idx="3">
                  <c:v>42102</c:v>
                </c:pt>
                <c:pt idx="4">
                  <c:v>42103</c:v>
                </c:pt>
                <c:pt idx="5">
                  <c:v>42104</c:v>
                </c:pt>
                <c:pt idx="6">
                  <c:v>42105</c:v>
                </c:pt>
                <c:pt idx="7">
                  <c:v>42106</c:v>
                </c:pt>
                <c:pt idx="8">
                  <c:v>42107</c:v>
                </c:pt>
                <c:pt idx="9">
                  <c:v>42108</c:v>
                </c:pt>
                <c:pt idx="10">
                  <c:v>42109</c:v>
                </c:pt>
                <c:pt idx="11">
                  <c:v>42110</c:v>
                </c:pt>
                <c:pt idx="12">
                  <c:v>42111</c:v>
                </c:pt>
                <c:pt idx="13">
                  <c:v>42112</c:v>
                </c:pt>
                <c:pt idx="14">
                  <c:v>42113</c:v>
                </c:pt>
                <c:pt idx="15">
                  <c:v>42114</c:v>
                </c:pt>
                <c:pt idx="16">
                  <c:v>42115</c:v>
                </c:pt>
                <c:pt idx="17">
                  <c:v>42116</c:v>
                </c:pt>
                <c:pt idx="18">
                  <c:v>42117</c:v>
                </c:pt>
                <c:pt idx="19">
                  <c:v>42118</c:v>
                </c:pt>
                <c:pt idx="20">
                  <c:v>42119</c:v>
                </c:pt>
                <c:pt idx="21">
                  <c:v>42120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42126</c:v>
                </c:pt>
                <c:pt idx="28">
                  <c:v>42127</c:v>
                </c:pt>
                <c:pt idx="29">
                  <c:v>42128</c:v>
                </c:pt>
                <c:pt idx="30">
                  <c:v>42129</c:v>
                </c:pt>
                <c:pt idx="31">
                  <c:v>42130</c:v>
                </c:pt>
                <c:pt idx="32">
                  <c:v>42131</c:v>
                </c:pt>
                <c:pt idx="33">
                  <c:v>42132</c:v>
                </c:pt>
                <c:pt idx="34">
                  <c:v>42133</c:v>
                </c:pt>
                <c:pt idx="35">
                  <c:v>42134</c:v>
                </c:pt>
                <c:pt idx="36">
                  <c:v>42135</c:v>
                </c:pt>
                <c:pt idx="37">
                  <c:v>42136</c:v>
                </c:pt>
                <c:pt idx="38">
                  <c:v>42137</c:v>
                </c:pt>
                <c:pt idx="39">
                  <c:v>42138</c:v>
                </c:pt>
                <c:pt idx="40">
                  <c:v>42139</c:v>
                </c:pt>
                <c:pt idx="41">
                  <c:v>42140</c:v>
                </c:pt>
                <c:pt idx="42">
                  <c:v>42141</c:v>
                </c:pt>
                <c:pt idx="43">
                  <c:v>42142</c:v>
                </c:pt>
                <c:pt idx="44">
                  <c:v>42143</c:v>
                </c:pt>
                <c:pt idx="45">
                  <c:v>42144</c:v>
                </c:pt>
                <c:pt idx="46">
                  <c:v>42145</c:v>
                </c:pt>
                <c:pt idx="47">
                  <c:v>42146</c:v>
                </c:pt>
                <c:pt idx="48">
                  <c:v>42147</c:v>
                </c:pt>
                <c:pt idx="49">
                  <c:v>42148</c:v>
                </c:pt>
                <c:pt idx="50">
                  <c:v>42149</c:v>
                </c:pt>
                <c:pt idx="51">
                  <c:v>42150</c:v>
                </c:pt>
                <c:pt idx="52">
                  <c:v>42151</c:v>
                </c:pt>
                <c:pt idx="53">
                  <c:v>42152</c:v>
                </c:pt>
                <c:pt idx="54">
                  <c:v>42153</c:v>
                </c:pt>
                <c:pt idx="55">
                  <c:v>42154</c:v>
                </c:pt>
                <c:pt idx="56">
                  <c:v>42155</c:v>
                </c:pt>
                <c:pt idx="57">
                  <c:v>42156</c:v>
                </c:pt>
                <c:pt idx="58">
                  <c:v>42157</c:v>
                </c:pt>
                <c:pt idx="59">
                  <c:v>42158</c:v>
                </c:pt>
                <c:pt idx="60">
                  <c:v>42159</c:v>
                </c:pt>
                <c:pt idx="61">
                  <c:v>42160</c:v>
                </c:pt>
                <c:pt idx="62">
                  <c:v>42161</c:v>
                </c:pt>
                <c:pt idx="63">
                  <c:v>42162</c:v>
                </c:pt>
                <c:pt idx="64">
                  <c:v>42163</c:v>
                </c:pt>
                <c:pt idx="65">
                  <c:v>42164</c:v>
                </c:pt>
                <c:pt idx="66">
                  <c:v>42165</c:v>
                </c:pt>
                <c:pt idx="67">
                  <c:v>42166</c:v>
                </c:pt>
                <c:pt idx="68">
                  <c:v>42167</c:v>
                </c:pt>
                <c:pt idx="69">
                  <c:v>42168</c:v>
                </c:pt>
                <c:pt idx="70">
                  <c:v>42169</c:v>
                </c:pt>
                <c:pt idx="71">
                  <c:v>42170</c:v>
                </c:pt>
                <c:pt idx="72">
                  <c:v>42171</c:v>
                </c:pt>
                <c:pt idx="73">
                  <c:v>42172</c:v>
                </c:pt>
                <c:pt idx="74">
                  <c:v>42173</c:v>
                </c:pt>
                <c:pt idx="75">
                  <c:v>42174</c:v>
                </c:pt>
                <c:pt idx="76">
                  <c:v>42175</c:v>
                </c:pt>
                <c:pt idx="77">
                  <c:v>42176</c:v>
                </c:pt>
                <c:pt idx="78">
                  <c:v>42177</c:v>
                </c:pt>
                <c:pt idx="79">
                  <c:v>42178</c:v>
                </c:pt>
                <c:pt idx="80">
                  <c:v>42179</c:v>
                </c:pt>
                <c:pt idx="81">
                  <c:v>42180</c:v>
                </c:pt>
                <c:pt idx="82">
                  <c:v>42181</c:v>
                </c:pt>
                <c:pt idx="83">
                  <c:v>42182</c:v>
                </c:pt>
                <c:pt idx="84">
                  <c:v>42183</c:v>
                </c:pt>
                <c:pt idx="85">
                  <c:v>42184</c:v>
                </c:pt>
                <c:pt idx="86">
                  <c:v>42185</c:v>
                </c:pt>
                <c:pt idx="87">
                  <c:v>42186</c:v>
                </c:pt>
                <c:pt idx="88">
                  <c:v>42187</c:v>
                </c:pt>
                <c:pt idx="89">
                  <c:v>42188</c:v>
                </c:pt>
                <c:pt idx="90">
                  <c:v>42189</c:v>
                </c:pt>
                <c:pt idx="91">
                  <c:v>42190</c:v>
                </c:pt>
                <c:pt idx="92">
                  <c:v>42191</c:v>
                </c:pt>
                <c:pt idx="93">
                  <c:v>42192</c:v>
                </c:pt>
                <c:pt idx="94">
                  <c:v>42193</c:v>
                </c:pt>
                <c:pt idx="95">
                  <c:v>42194</c:v>
                </c:pt>
                <c:pt idx="96">
                  <c:v>42195</c:v>
                </c:pt>
                <c:pt idx="97">
                  <c:v>42196</c:v>
                </c:pt>
                <c:pt idx="98">
                  <c:v>42197</c:v>
                </c:pt>
                <c:pt idx="99">
                  <c:v>42198</c:v>
                </c:pt>
                <c:pt idx="100">
                  <c:v>42199</c:v>
                </c:pt>
                <c:pt idx="101">
                  <c:v>42200</c:v>
                </c:pt>
                <c:pt idx="102">
                  <c:v>42201</c:v>
                </c:pt>
                <c:pt idx="103">
                  <c:v>42202</c:v>
                </c:pt>
                <c:pt idx="104">
                  <c:v>42203</c:v>
                </c:pt>
                <c:pt idx="105">
                  <c:v>42204</c:v>
                </c:pt>
                <c:pt idx="106">
                  <c:v>42205</c:v>
                </c:pt>
                <c:pt idx="107">
                  <c:v>42206</c:v>
                </c:pt>
                <c:pt idx="108">
                  <c:v>42207</c:v>
                </c:pt>
                <c:pt idx="109">
                  <c:v>42208</c:v>
                </c:pt>
                <c:pt idx="110">
                  <c:v>42209</c:v>
                </c:pt>
                <c:pt idx="111">
                  <c:v>42210</c:v>
                </c:pt>
                <c:pt idx="112">
                  <c:v>42211</c:v>
                </c:pt>
                <c:pt idx="113">
                  <c:v>42212</c:v>
                </c:pt>
                <c:pt idx="114">
                  <c:v>42213</c:v>
                </c:pt>
                <c:pt idx="115">
                  <c:v>42214</c:v>
                </c:pt>
                <c:pt idx="116">
                  <c:v>42215</c:v>
                </c:pt>
                <c:pt idx="117">
                  <c:v>42216</c:v>
                </c:pt>
                <c:pt idx="118">
                  <c:v>42217</c:v>
                </c:pt>
                <c:pt idx="119">
                  <c:v>42218</c:v>
                </c:pt>
                <c:pt idx="120">
                  <c:v>42219</c:v>
                </c:pt>
                <c:pt idx="121">
                  <c:v>42220</c:v>
                </c:pt>
                <c:pt idx="122">
                  <c:v>42221</c:v>
                </c:pt>
                <c:pt idx="123">
                  <c:v>42222</c:v>
                </c:pt>
                <c:pt idx="124">
                  <c:v>42223</c:v>
                </c:pt>
                <c:pt idx="125">
                  <c:v>42224</c:v>
                </c:pt>
                <c:pt idx="126">
                  <c:v>42225</c:v>
                </c:pt>
                <c:pt idx="127">
                  <c:v>42226</c:v>
                </c:pt>
                <c:pt idx="128">
                  <c:v>42227</c:v>
                </c:pt>
                <c:pt idx="129">
                  <c:v>42228</c:v>
                </c:pt>
                <c:pt idx="130">
                  <c:v>42229</c:v>
                </c:pt>
                <c:pt idx="131">
                  <c:v>42230</c:v>
                </c:pt>
                <c:pt idx="132">
                  <c:v>42231</c:v>
                </c:pt>
                <c:pt idx="133">
                  <c:v>42232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42238</c:v>
                </c:pt>
                <c:pt idx="140">
                  <c:v>42239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42245</c:v>
                </c:pt>
                <c:pt idx="147">
                  <c:v>42246</c:v>
                </c:pt>
                <c:pt idx="148">
                  <c:v>42247</c:v>
                </c:pt>
                <c:pt idx="149">
                  <c:v>42248</c:v>
                </c:pt>
                <c:pt idx="150">
                  <c:v>42249</c:v>
                </c:pt>
                <c:pt idx="151">
                  <c:v>42250</c:v>
                </c:pt>
                <c:pt idx="152">
                  <c:v>42251</c:v>
                </c:pt>
                <c:pt idx="153">
                  <c:v>42252</c:v>
                </c:pt>
                <c:pt idx="154">
                  <c:v>42253</c:v>
                </c:pt>
                <c:pt idx="155">
                  <c:v>42254</c:v>
                </c:pt>
                <c:pt idx="156">
                  <c:v>42255</c:v>
                </c:pt>
                <c:pt idx="157">
                  <c:v>42256</c:v>
                </c:pt>
                <c:pt idx="158">
                  <c:v>42257</c:v>
                </c:pt>
                <c:pt idx="159">
                  <c:v>42258</c:v>
                </c:pt>
                <c:pt idx="160">
                  <c:v>42259</c:v>
                </c:pt>
                <c:pt idx="161">
                  <c:v>42260</c:v>
                </c:pt>
                <c:pt idx="162">
                  <c:v>42261</c:v>
                </c:pt>
                <c:pt idx="163">
                  <c:v>42262</c:v>
                </c:pt>
                <c:pt idx="164">
                  <c:v>42263</c:v>
                </c:pt>
                <c:pt idx="165">
                  <c:v>42264</c:v>
                </c:pt>
                <c:pt idx="166">
                  <c:v>42265</c:v>
                </c:pt>
                <c:pt idx="167">
                  <c:v>42266</c:v>
                </c:pt>
                <c:pt idx="168">
                  <c:v>42267</c:v>
                </c:pt>
                <c:pt idx="169">
                  <c:v>42268</c:v>
                </c:pt>
                <c:pt idx="170">
                  <c:v>42269</c:v>
                </c:pt>
                <c:pt idx="171">
                  <c:v>42270</c:v>
                </c:pt>
                <c:pt idx="172">
                  <c:v>42271</c:v>
                </c:pt>
                <c:pt idx="173">
                  <c:v>42272</c:v>
                </c:pt>
                <c:pt idx="174">
                  <c:v>42273</c:v>
                </c:pt>
                <c:pt idx="175">
                  <c:v>42274</c:v>
                </c:pt>
                <c:pt idx="176">
                  <c:v>42275</c:v>
                </c:pt>
                <c:pt idx="177">
                  <c:v>42276</c:v>
                </c:pt>
                <c:pt idx="178">
                  <c:v>42277</c:v>
                </c:pt>
                <c:pt idx="179">
                  <c:v>42278</c:v>
                </c:pt>
                <c:pt idx="180">
                  <c:v>42279</c:v>
                </c:pt>
                <c:pt idx="181">
                  <c:v>42280</c:v>
                </c:pt>
                <c:pt idx="182">
                  <c:v>42281</c:v>
                </c:pt>
                <c:pt idx="183">
                  <c:v>42282</c:v>
                </c:pt>
                <c:pt idx="184">
                  <c:v>42283</c:v>
                </c:pt>
                <c:pt idx="185">
                  <c:v>42284</c:v>
                </c:pt>
                <c:pt idx="186">
                  <c:v>42285</c:v>
                </c:pt>
                <c:pt idx="187">
                  <c:v>42286</c:v>
                </c:pt>
                <c:pt idx="188">
                  <c:v>42287</c:v>
                </c:pt>
                <c:pt idx="189">
                  <c:v>42288</c:v>
                </c:pt>
                <c:pt idx="190">
                  <c:v>42289</c:v>
                </c:pt>
                <c:pt idx="191">
                  <c:v>42290</c:v>
                </c:pt>
                <c:pt idx="192">
                  <c:v>42291</c:v>
                </c:pt>
                <c:pt idx="193">
                  <c:v>42292</c:v>
                </c:pt>
                <c:pt idx="194">
                  <c:v>42293</c:v>
                </c:pt>
                <c:pt idx="195">
                  <c:v>42294</c:v>
                </c:pt>
                <c:pt idx="196">
                  <c:v>42295</c:v>
                </c:pt>
                <c:pt idx="197">
                  <c:v>42296</c:v>
                </c:pt>
                <c:pt idx="198">
                  <c:v>42297</c:v>
                </c:pt>
                <c:pt idx="199">
                  <c:v>42298</c:v>
                </c:pt>
                <c:pt idx="200">
                  <c:v>42299</c:v>
                </c:pt>
                <c:pt idx="201">
                  <c:v>42300</c:v>
                </c:pt>
                <c:pt idx="202">
                  <c:v>42301</c:v>
                </c:pt>
                <c:pt idx="203">
                  <c:v>42302</c:v>
                </c:pt>
                <c:pt idx="204">
                  <c:v>42303</c:v>
                </c:pt>
                <c:pt idx="205">
                  <c:v>42304</c:v>
                </c:pt>
                <c:pt idx="206">
                  <c:v>42305</c:v>
                </c:pt>
                <c:pt idx="207">
                  <c:v>42306</c:v>
                </c:pt>
                <c:pt idx="208">
                  <c:v>42307</c:v>
                </c:pt>
                <c:pt idx="209">
                  <c:v>42308</c:v>
                </c:pt>
                <c:pt idx="210">
                  <c:v>42309</c:v>
                </c:pt>
                <c:pt idx="211">
                  <c:v>42310</c:v>
                </c:pt>
                <c:pt idx="212">
                  <c:v>42311</c:v>
                </c:pt>
                <c:pt idx="213">
                  <c:v>42312</c:v>
                </c:pt>
                <c:pt idx="214">
                  <c:v>42313</c:v>
                </c:pt>
                <c:pt idx="215">
                  <c:v>42314</c:v>
                </c:pt>
                <c:pt idx="216">
                  <c:v>42315</c:v>
                </c:pt>
                <c:pt idx="217">
                  <c:v>42316</c:v>
                </c:pt>
                <c:pt idx="218">
                  <c:v>42317</c:v>
                </c:pt>
                <c:pt idx="219">
                  <c:v>42318</c:v>
                </c:pt>
                <c:pt idx="220">
                  <c:v>42319</c:v>
                </c:pt>
                <c:pt idx="221">
                  <c:v>42320</c:v>
                </c:pt>
                <c:pt idx="222">
                  <c:v>42321</c:v>
                </c:pt>
                <c:pt idx="223">
                  <c:v>42322</c:v>
                </c:pt>
                <c:pt idx="224">
                  <c:v>42323</c:v>
                </c:pt>
                <c:pt idx="225">
                  <c:v>42324</c:v>
                </c:pt>
                <c:pt idx="226">
                  <c:v>42325</c:v>
                </c:pt>
                <c:pt idx="227">
                  <c:v>42326</c:v>
                </c:pt>
                <c:pt idx="228">
                  <c:v>42327</c:v>
                </c:pt>
                <c:pt idx="229">
                  <c:v>42328</c:v>
                </c:pt>
                <c:pt idx="230">
                  <c:v>42329</c:v>
                </c:pt>
                <c:pt idx="231">
                  <c:v>42330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42336</c:v>
                </c:pt>
                <c:pt idx="238">
                  <c:v>42337</c:v>
                </c:pt>
                <c:pt idx="239">
                  <c:v>42338</c:v>
                </c:pt>
                <c:pt idx="240">
                  <c:v>42339</c:v>
                </c:pt>
                <c:pt idx="241">
                  <c:v>42340</c:v>
                </c:pt>
                <c:pt idx="242">
                  <c:v>42341</c:v>
                </c:pt>
                <c:pt idx="243">
                  <c:v>42342</c:v>
                </c:pt>
                <c:pt idx="244">
                  <c:v>42343</c:v>
                </c:pt>
                <c:pt idx="245">
                  <c:v>42344</c:v>
                </c:pt>
                <c:pt idx="246">
                  <c:v>42345</c:v>
                </c:pt>
                <c:pt idx="247">
                  <c:v>42346</c:v>
                </c:pt>
                <c:pt idx="248">
                  <c:v>42347</c:v>
                </c:pt>
                <c:pt idx="249">
                  <c:v>42348</c:v>
                </c:pt>
                <c:pt idx="250">
                  <c:v>42349</c:v>
                </c:pt>
                <c:pt idx="251">
                  <c:v>42350</c:v>
                </c:pt>
                <c:pt idx="252">
                  <c:v>42351</c:v>
                </c:pt>
                <c:pt idx="253">
                  <c:v>42352</c:v>
                </c:pt>
                <c:pt idx="254">
                  <c:v>42353</c:v>
                </c:pt>
                <c:pt idx="255">
                  <c:v>42354</c:v>
                </c:pt>
                <c:pt idx="256">
                  <c:v>42355</c:v>
                </c:pt>
                <c:pt idx="257">
                  <c:v>42356</c:v>
                </c:pt>
                <c:pt idx="258">
                  <c:v>42357</c:v>
                </c:pt>
                <c:pt idx="259">
                  <c:v>42358</c:v>
                </c:pt>
                <c:pt idx="260">
                  <c:v>42359</c:v>
                </c:pt>
                <c:pt idx="261">
                  <c:v>42360</c:v>
                </c:pt>
                <c:pt idx="262">
                  <c:v>42361</c:v>
                </c:pt>
                <c:pt idx="263">
                  <c:v>42362</c:v>
                </c:pt>
                <c:pt idx="264">
                  <c:v>42363</c:v>
                </c:pt>
                <c:pt idx="265">
                  <c:v>42364</c:v>
                </c:pt>
                <c:pt idx="266">
                  <c:v>42365</c:v>
                </c:pt>
                <c:pt idx="267">
                  <c:v>42366</c:v>
                </c:pt>
                <c:pt idx="268">
                  <c:v>42367</c:v>
                </c:pt>
                <c:pt idx="269">
                  <c:v>42368</c:v>
                </c:pt>
                <c:pt idx="270">
                  <c:v>42369</c:v>
                </c:pt>
                <c:pt idx="271">
                  <c:v>42370</c:v>
                </c:pt>
                <c:pt idx="272">
                  <c:v>42371</c:v>
                </c:pt>
                <c:pt idx="273">
                  <c:v>42372</c:v>
                </c:pt>
                <c:pt idx="274">
                  <c:v>42373</c:v>
                </c:pt>
                <c:pt idx="275">
                  <c:v>42374</c:v>
                </c:pt>
                <c:pt idx="276">
                  <c:v>42375</c:v>
                </c:pt>
                <c:pt idx="277">
                  <c:v>42376</c:v>
                </c:pt>
                <c:pt idx="278">
                  <c:v>42377</c:v>
                </c:pt>
                <c:pt idx="279">
                  <c:v>42378</c:v>
                </c:pt>
                <c:pt idx="280">
                  <c:v>42379</c:v>
                </c:pt>
                <c:pt idx="281">
                  <c:v>42380</c:v>
                </c:pt>
                <c:pt idx="282">
                  <c:v>42381</c:v>
                </c:pt>
                <c:pt idx="283">
                  <c:v>42382</c:v>
                </c:pt>
                <c:pt idx="284">
                  <c:v>42383</c:v>
                </c:pt>
                <c:pt idx="285">
                  <c:v>42384</c:v>
                </c:pt>
                <c:pt idx="286">
                  <c:v>42385</c:v>
                </c:pt>
                <c:pt idx="287">
                  <c:v>42386</c:v>
                </c:pt>
                <c:pt idx="288">
                  <c:v>42387</c:v>
                </c:pt>
                <c:pt idx="289">
                  <c:v>42388</c:v>
                </c:pt>
                <c:pt idx="290">
                  <c:v>42389</c:v>
                </c:pt>
                <c:pt idx="291">
                  <c:v>42390</c:v>
                </c:pt>
                <c:pt idx="292">
                  <c:v>42391</c:v>
                </c:pt>
                <c:pt idx="293">
                  <c:v>42392</c:v>
                </c:pt>
                <c:pt idx="294">
                  <c:v>42393</c:v>
                </c:pt>
                <c:pt idx="295">
                  <c:v>42394</c:v>
                </c:pt>
                <c:pt idx="296">
                  <c:v>42395</c:v>
                </c:pt>
                <c:pt idx="297">
                  <c:v>42396</c:v>
                </c:pt>
                <c:pt idx="298">
                  <c:v>42397</c:v>
                </c:pt>
                <c:pt idx="299">
                  <c:v>42398</c:v>
                </c:pt>
                <c:pt idx="300">
                  <c:v>42399</c:v>
                </c:pt>
                <c:pt idx="301">
                  <c:v>42400</c:v>
                </c:pt>
                <c:pt idx="302">
                  <c:v>42401</c:v>
                </c:pt>
                <c:pt idx="303">
                  <c:v>42402</c:v>
                </c:pt>
                <c:pt idx="304">
                  <c:v>42403</c:v>
                </c:pt>
                <c:pt idx="305">
                  <c:v>42404</c:v>
                </c:pt>
                <c:pt idx="306">
                  <c:v>42405</c:v>
                </c:pt>
                <c:pt idx="307">
                  <c:v>42406</c:v>
                </c:pt>
                <c:pt idx="308">
                  <c:v>42407</c:v>
                </c:pt>
                <c:pt idx="309">
                  <c:v>42408</c:v>
                </c:pt>
                <c:pt idx="310">
                  <c:v>42409</c:v>
                </c:pt>
                <c:pt idx="311">
                  <c:v>42410</c:v>
                </c:pt>
                <c:pt idx="312">
                  <c:v>42411</c:v>
                </c:pt>
                <c:pt idx="313">
                  <c:v>42412</c:v>
                </c:pt>
                <c:pt idx="314">
                  <c:v>42413</c:v>
                </c:pt>
                <c:pt idx="315">
                  <c:v>42414</c:v>
                </c:pt>
                <c:pt idx="316">
                  <c:v>42415</c:v>
                </c:pt>
                <c:pt idx="317">
                  <c:v>42416</c:v>
                </c:pt>
                <c:pt idx="318">
                  <c:v>42417</c:v>
                </c:pt>
                <c:pt idx="319">
                  <c:v>42418</c:v>
                </c:pt>
                <c:pt idx="320">
                  <c:v>42419</c:v>
                </c:pt>
                <c:pt idx="321">
                  <c:v>42420</c:v>
                </c:pt>
                <c:pt idx="322">
                  <c:v>42421</c:v>
                </c:pt>
                <c:pt idx="323">
                  <c:v>42422</c:v>
                </c:pt>
                <c:pt idx="324">
                  <c:v>42423</c:v>
                </c:pt>
                <c:pt idx="325">
                  <c:v>42424</c:v>
                </c:pt>
                <c:pt idx="326">
                  <c:v>42425</c:v>
                </c:pt>
                <c:pt idx="327">
                  <c:v>42426</c:v>
                </c:pt>
                <c:pt idx="328">
                  <c:v>42427</c:v>
                </c:pt>
                <c:pt idx="329">
                  <c:v>42428</c:v>
                </c:pt>
                <c:pt idx="330">
                  <c:v>42429</c:v>
                </c:pt>
                <c:pt idx="331">
                  <c:v>42430</c:v>
                </c:pt>
                <c:pt idx="332">
                  <c:v>42431</c:v>
                </c:pt>
                <c:pt idx="333">
                  <c:v>42432</c:v>
                </c:pt>
                <c:pt idx="334">
                  <c:v>42433</c:v>
                </c:pt>
                <c:pt idx="335">
                  <c:v>42434</c:v>
                </c:pt>
                <c:pt idx="336">
                  <c:v>42435</c:v>
                </c:pt>
                <c:pt idx="337">
                  <c:v>42436</c:v>
                </c:pt>
                <c:pt idx="338">
                  <c:v>42437</c:v>
                </c:pt>
                <c:pt idx="339">
                  <c:v>42438</c:v>
                </c:pt>
                <c:pt idx="340">
                  <c:v>42439</c:v>
                </c:pt>
                <c:pt idx="341">
                  <c:v>42440</c:v>
                </c:pt>
                <c:pt idx="342">
                  <c:v>42441</c:v>
                </c:pt>
                <c:pt idx="343">
                  <c:v>42442</c:v>
                </c:pt>
                <c:pt idx="344">
                  <c:v>42443</c:v>
                </c:pt>
                <c:pt idx="345">
                  <c:v>42444</c:v>
                </c:pt>
                <c:pt idx="346">
                  <c:v>42445</c:v>
                </c:pt>
                <c:pt idx="347">
                  <c:v>42446</c:v>
                </c:pt>
                <c:pt idx="348">
                  <c:v>42447</c:v>
                </c:pt>
                <c:pt idx="349">
                  <c:v>42448</c:v>
                </c:pt>
                <c:pt idx="350">
                  <c:v>42449</c:v>
                </c:pt>
                <c:pt idx="351">
                  <c:v>42450</c:v>
                </c:pt>
                <c:pt idx="352">
                  <c:v>42451</c:v>
                </c:pt>
                <c:pt idx="353">
                  <c:v>42452</c:v>
                </c:pt>
                <c:pt idx="354">
                  <c:v>42453</c:v>
                </c:pt>
                <c:pt idx="355">
                  <c:v>42454</c:v>
                </c:pt>
                <c:pt idx="356">
                  <c:v>42455</c:v>
                </c:pt>
                <c:pt idx="357">
                  <c:v>42456</c:v>
                </c:pt>
                <c:pt idx="358">
                  <c:v>42457</c:v>
                </c:pt>
                <c:pt idx="359">
                  <c:v>42458</c:v>
                </c:pt>
                <c:pt idx="360">
                  <c:v>42459</c:v>
                </c:pt>
                <c:pt idx="361">
                  <c:v>42460</c:v>
                </c:pt>
                <c:pt idx="362">
                  <c:v>42461</c:v>
                </c:pt>
                <c:pt idx="363">
                  <c:v>42462</c:v>
                </c:pt>
                <c:pt idx="364">
                  <c:v>42463</c:v>
                </c:pt>
                <c:pt idx="365">
                  <c:v>42464</c:v>
                </c:pt>
                <c:pt idx="366">
                  <c:v>42465</c:v>
                </c:pt>
                <c:pt idx="367">
                  <c:v>42466</c:v>
                </c:pt>
                <c:pt idx="368">
                  <c:v>42467</c:v>
                </c:pt>
                <c:pt idx="369">
                  <c:v>42468</c:v>
                </c:pt>
                <c:pt idx="370">
                  <c:v>42469</c:v>
                </c:pt>
                <c:pt idx="371">
                  <c:v>42470</c:v>
                </c:pt>
                <c:pt idx="372">
                  <c:v>42471</c:v>
                </c:pt>
                <c:pt idx="373">
                  <c:v>42472</c:v>
                </c:pt>
                <c:pt idx="374">
                  <c:v>42473</c:v>
                </c:pt>
                <c:pt idx="375">
                  <c:v>42474</c:v>
                </c:pt>
                <c:pt idx="376">
                  <c:v>42475</c:v>
                </c:pt>
                <c:pt idx="377">
                  <c:v>42476</c:v>
                </c:pt>
                <c:pt idx="378">
                  <c:v>42477</c:v>
                </c:pt>
                <c:pt idx="379">
                  <c:v>42478</c:v>
                </c:pt>
                <c:pt idx="380">
                  <c:v>42479</c:v>
                </c:pt>
                <c:pt idx="381">
                  <c:v>42480</c:v>
                </c:pt>
                <c:pt idx="382">
                  <c:v>42481</c:v>
                </c:pt>
                <c:pt idx="383">
                  <c:v>42482</c:v>
                </c:pt>
                <c:pt idx="384">
                  <c:v>42483</c:v>
                </c:pt>
                <c:pt idx="385">
                  <c:v>42484</c:v>
                </c:pt>
                <c:pt idx="386">
                  <c:v>42485</c:v>
                </c:pt>
                <c:pt idx="387">
                  <c:v>42486</c:v>
                </c:pt>
                <c:pt idx="388">
                  <c:v>42487</c:v>
                </c:pt>
                <c:pt idx="389">
                  <c:v>42488</c:v>
                </c:pt>
                <c:pt idx="390">
                  <c:v>42489</c:v>
                </c:pt>
                <c:pt idx="391">
                  <c:v>42490</c:v>
                </c:pt>
                <c:pt idx="392">
                  <c:v>42491</c:v>
                </c:pt>
                <c:pt idx="393">
                  <c:v>42492</c:v>
                </c:pt>
                <c:pt idx="394">
                  <c:v>42493</c:v>
                </c:pt>
                <c:pt idx="395">
                  <c:v>42494</c:v>
                </c:pt>
                <c:pt idx="396">
                  <c:v>42495</c:v>
                </c:pt>
                <c:pt idx="397">
                  <c:v>42496</c:v>
                </c:pt>
                <c:pt idx="398">
                  <c:v>42497</c:v>
                </c:pt>
                <c:pt idx="399">
                  <c:v>42498</c:v>
                </c:pt>
                <c:pt idx="400">
                  <c:v>42499</c:v>
                </c:pt>
                <c:pt idx="401">
                  <c:v>42500</c:v>
                </c:pt>
                <c:pt idx="402">
                  <c:v>42501</c:v>
                </c:pt>
                <c:pt idx="403">
                  <c:v>42502</c:v>
                </c:pt>
                <c:pt idx="404">
                  <c:v>42503</c:v>
                </c:pt>
                <c:pt idx="405">
                  <c:v>42504</c:v>
                </c:pt>
                <c:pt idx="406">
                  <c:v>42505</c:v>
                </c:pt>
                <c:pt idx="407">
                  <c:v>42506</c:v>
                </c:pt>
                <c:pt idx="408">
                  <c:v>42507</c:v>
                </c:pt>
                <c:pt idx="409">
                  <c:v>42508</c:v>
                </c:pt>
                <c:pt idx="410">
                  <c:v>42509</c:v>
                </c:pt>
                <c:pt idx="411">
                  <c:v>42510</c:v>
                </c:pt>
                <c:pt idx="412">
                  <c:v>42511</c:v>
                </c:pt>
                <c:pt idx="413">
                  <c:v>42512</c:v>
                </c:pt>
                <c:pt idx="414">
                  <c:v>42513</c:v>
                </c:pt>
                <c:pt idx="415">
                  <c:v>42514</c:v>
                </c:pt>
                <c:pt idx="416">
                  <c:v>42515</c:v>
                </c:pt>
                <c:pt idx="417">
                  <c:v>42516</c:v>
                </c:pt>
                <c:pt idx="418">
                  <c:v>42517</c:v>
                </c:pt>
                <c:pt idx="419">
                  <c:v>42518</c:v>
                </c:pt>
                <c:pt idx="420">
                  <c:v>42519</c:v>
                </c:pt>
                <c:pt idx="421">
                  <c:v>42520</c:v>
                </c:pt>
                <c:pt idx="422">
                  <c:v>42521</c:v>
                </c:pt>
                <c:pt idx="423">
                  <c:v>42522</c:v>
                </c:pt>
                <c:pt idx="424">
                  <c:v>42523</c:v>
                </c:pt>
                <c:pt idx="425">
                  <c:v>42524</c:v>
                </c:pt>
                <c:pt idx="426">
                  <c:v>42525</c:v>
                </c:pt>
                <c:pt idx="427">
                  <c:v>42526</c:v>
                </c:pt>
                <c:pt idx="428">
                  <c:v>42527</c:v>
                </c:pt>
                <c:pt idx="429">
                  <c:v>42528</c:v>
                </c:pt>
                <c:pt idx="430">
                  <c:v>42529</c:v>
                </c:pt>
                <c:pt idx="431">
                  <c:v>42530</c:v>
                </c:pt>
                <c:pt idx="432">
                  <c:v>42531</c:v>
                </c:pt>
                <c:pt idx="433">
                  <c:v>42532</c:v>
                </c:pt>
                <c:pt idx="434">
                  <c:v>42533</c:v>
                </c:pt>
                <c:pt idx="435">
                  <c:v>42534</c:v>
                </c:pt>
                <c:pt idx="436">
                  <c:v>42535</c:v>
                </c:pt>
                <c:pt idx="437">
                  <c:v>42536</c:v>
                </c:pt>
                <c:pt idx="438">
                  <c:v>42537</c:v>
                </c:pt>
                <c:pt idx="439">
                  <c:v>42538</c:v>
                </c:pt>
                <c:pt idx="440">
                  <c:v>42539</c:v>
                </c:pt>
                <c:pt idx="441">
                  <c:v>42540</c:v>
                </c:pt>
                <c:pt idx="442">
                  <c:v>42541</c:v>
                </c:pt>
                <c:pt idx="443">
                  <c:v>42542</c:v>
                </c:pt>
                <c:pt idx="444">
                  <c:v>42543</c:v>
                </c:pt>
                <c:pt idx="445">
                  <c:v>42544</c:v>
                </c:pt>
                <c:pt idx="446">
                  <c:v>42545</c:v>
                </c:pt>
                <c:pt idx="447">
                  <c:v>42546</c:v>
                </c:pt>
                <c:pt idx="448">
                  <c:v>42547</c:v>
                </c:pt>
                <c:pt idx="449">
                  <c:v>42548</c:v>
                </c:pt>
                <c:pt idx="450">
                  <c:v>42549</c:v>
                </c:pt>
                <c:pt idx="451">
                  <c:v>42550</c:v>
                </c:pt>
                <c:pt idx="452">
                  <c:v>42551</c:v>
                </c:pt>
                <c:pt idx="453">
                  <c:v>42552</c:v>
                </c:pt>
                <c:pt idx="454">
                  <c:v>42553</c:v>
                </c:pt>
                <c:pt idx="455">
                  <c:v>42554</c:v>
                </c:pt>
                <c:pt idx="456">
                  <c:v>42555</c:v>
                </c:pt>
                <c:pt idx="457">
                  <c:v>42556</c:v>
                </c:pt>
                <c:pt idx="458">
                  <c:v>42557</c:v>
                </c:pt>
                <c:pt idx="459">
                  <c:v>42558</c:v>
                </c:pt>
                <c:pt idx="460">
                  <c:v>42559</c:v>
                </c:pt>
                <c:pt idx="461">
                  <c:v>42560</c:v>
                </c:pt>
                <c:pt idx="462">
                  <c:v>42561</c:v>
                </c:pt>
                <c:pt idx="463">
                  <c:v>42562</c:v>
                </c:pt>
                <c:pt idx="464">
                  <c:v>42563</c:v>
                </c:pt>
                <c:pt idx="465">
                  <c:v>42564</c:v>
                </c:pt>
                <c:pt idx="466">
                  <c:v>42565</c:v>
                </c:pt>
                <c:pt idx="467">
                  <c:v>42566</c:v>
                </c:pt>
                <c:pt idx="468">
                  <c:v>42567</c:v>
                </c:pt>
                <c:pt idx="469">
                  <c:v>42568</c:v>
                </c:pt>
                <c:pt idx="470">
                  <c:v>42569</c:v>
                </c:pt>
                <c:pt idx="471">
                  <c:v>42570</c:v>
                </c:pt>
                <c:pt idx="472">
                  <c:v>42571</c:v>
                </c:pt>
                <c:pt idx="473">
                  <c:v>42572</c:v>
                </c:pt>
                <c:pt idx="474">
                  <c:v>42573</c:v>
                </c:pt>
                <c:pt idx="475">
                  <c:v>42574</c:v>
                </c:pt>
                <c:pt idx="476">
                  <c:v>42575</c:v>
                </c:pt>
                <c:pt idx="477">
                  <c:v>42576</c:v>
                </c:pt>
                <c:pt idx="478">
                  <c:v>42577</c:v>
                </c:pt>
                <c:pt idx="479">
                  <c:v>42578</c:v>
                </c:pt>
                <c:pt idx="480">
                  <c:v>42579</c:v>
                </c:pt>
                <c:pt idx="481">
                  <c:v>42580</c:v>
                </c:pt>
                <c:pt idx="482">
                  <c:v>42581</c:v>
                </c:pt>
                <c:pt idx="483">
                  <c:v>42582</c:v>
                </c:pt>
                <c:pt idx="484">
                  <c:v>42583</c:v>
                </c:pt>
                <c:pt idx="485">
                  <c:v>42584</c:v>
                </c:pt>
                <c:pt idx="486">
                  <c:v>42585</c:v>
                </c:pt>
                <c:pt idx="487">
                  <c:v>42586</c:v>
                </c:pt>
                <c:pt idx="488">
                  <c:v>42587</c:v>
                </c:pt>
                <c:pt idx="489">
                  <c:v>42588</c:v>
                </c:pt>
                <c:pt idx="490">
                  <c:v>42589</c:v>
                </c:pt>
                <c:pt idx="491">
                  <c:v>42590</c:v>
                </c:pt>
                <c:pt idx="492">
                  <c:v>42591</c:v>
                </c:pt>
                <c:pt idx="493">
                  <c:v>42592</c:v>
                </c:pt>
                <c:pt idx="494">
                  <c:v>42593</c:v>
                </c:pt>
                <c:pt idx="495">
                  <c:v>42594</c:v>
                </c:pt>
                <c:pt idx="496">
                  <c:v>42595</c:v>
                </c:pt>
                <c:pt idx="497">
                  <c:v>42596</c:v>
                </c:pt>
                <c:pt idx="498">
                  <c:v>42597</c:v>
                </c:pt>
                <c:pt idx="499">
                  <c:v>42598</c:v>
                </c:pt>
                <c:pt idx="500">
                  <c:v>42599</c:v>
                </c:pt>
                <c:pt idx="501">
                  <c:v>42600</c:v>
                </c:pt>
                <c:pt idx="502">
                  <c:v>42601</c:v>
                </c:pt>
                <c:pt idx="503">
                  <c:v>42602</c:v>
                </c:pt>
                <c:pt idx="504">
                  <c:v>42603</c:v>
                </c:pt>
                <c:pt idx="505">
                  <c:v>42604</c:v>
                </c:pt>
                <c:pt idx="506">
                  <c:v>42605</c:v>
                </c:pt>
                <c:pt idx="507">
                  <c:v>42606</c:v>
                </c:pt>
                <c:pt idx="508">
                  <c:v>42607</c:v>
                </c:pt>
                <c:pt idx="509">
                  <c:v>42608</c:v>
                </c:pt>
                <c:pt idx="510">
                  <c:v>42609</c:v>
                </c:pt>
                <c:pt idx="511">
                  <c:v>42610</c:v>
                </c:pt>
                <c:pt idx="512">
                  <c:v>42611</c:v>
                </c:pt>
                <c:pt idx="513">
                  <c:v>42612</c:v>
                </c:pt>
                <c:pt idx="514">
                  <c:v>42613</c:v>
                </c:pt>
                <c:pt idx="515">
                  <c:v>42614</c:v>
                </c:pt>
                <c:pt idx="516">
                  <c:v>42615</c:v>
                </c:pt>
                <c:pt idx="517">
                  <c:v>42616</c:v>
                </c:pt>
                <c:pt idx="518">
                  <c:v>42617</c:v>
                </c:pt>
                <c:pt idx="519">
                  <c:v>42618</c:v>
                </c:pt>
                <c:pt idx="520">
                  <c:v>42619</c:v>
                </c:pt>
                <c:pt idx="521">
                  <c:v>42620</c:v>
                </c:pt>
                <c:pt idx="522">
                  <c:v>42621</c:v>
                </c:pt>
                <c:pt idx="523">
                  <c:v>42622</c:v>
                </c:pt>
                <c:pt idx="524">
                  <c:v>42623</c:v>
                </c:pt>
                <c:pt idx="525">
                  <c:v>42624</c:v>
                </c:pt>
                <c:pt idx="526">
                  <c:v>42625</c:v>
                </c:pt>
                <c:pt idx="527">
                  <c:v>42626</c:v>
                </c:pt>
                <c:pt idx="528">
                  <c:v>42627</c:v>
                </c:pt>
                <c:pt idx="529">
                  <c:v>42628</c:v>
                </c:pt>
                <c:pt idx="530">
                  <c:v>42629</c:v>
                </c:pt>
                <c:pt idx="531">
                  <c:v>42630</c:v>
                </c:pt>
                <c:pt idx="532">
                  <c:v>42631</c:v>
                </c:pt>
                <c:pt idx="533">
                  <c:v>42632</c:v>
                </c:pt>
                <c:pt idx="534">
                  <c:v>42633</c:v>
                </c:pt>
                <c:pt idx="535">
                  <c:v>42634</c:v>
                </c:pt>
                <c:pt idx="536">
                  <c:v>42635</c:v>
                </c:pt>
                <c:pt idx="537">
                  <c:v>42636</c:v>
                </c:pt>
                <c:pt idx="538">
                  <c:v>42637</c:v>
                </c:pt>
                <c:pt idx="539">
                  <c:v>42638</c:v>
                </c:pt>
                <c:pt idx="540">
                  <c:v>42639</c:v>
                </c:pt>
                <c:pt idx="541">
                  <c:v>42640</c:v>
                </c:pt>
                <c:pt idx="542">
                  <c:v>42641</c:v>
                </c:pt>
                <c:pt idx="543">
                  <c:v>42642</c:v>
                </c:pt>
                <c:pt idx="544">
                  <c:v>42643</c:v>
                </c:pt>
                <c:pt idx="545">
                  <c:v>42644</c:v>
                </c:pt>
                <c:pt idx="546">
                  <c:v>42645</c:v>
                </c:pt>
                <c:pt idx="547">
                  <c:v>42646</c:v>
                </c:pt>
                <c:pt idx="548">
                  <c:v>42647</c:v>
                </c:pt>
                <c:pt idx="549">
                  <c:v>42648</c:v>
                </c:pt>
                <c:pt idx="550">
                  <c:v>42649</c:v>
                </c:pt>
                <c:pt idx="551">
                  <c:v>42650</c:v>
                </c:pt>
                <c:pt idx="552">
                  <c:v>42651</c:v>
                </c:pt>
                <c:pt idx="553">
                  <c:v>42652</c:v>
                </c:pt>
                <c:pt idx="554">
                  <c:v>42653</c:v>
                </c:pt>
                <c:pt idx="555">
                  <c:v>42654</c:v>
                </c:pt>
                <c:pt idx="556">
                  <c:v>42655</c:v>
                </c:pt>
                <c:pt idx="557">
                  <c:v>42656</c:v>
                </c:pt>
                <c:pt idx="558">
                  <c:v>42657</c:v>
                </c:pt>
                <c:pt idx="559">
                  <c:v>42658</c:v>
                </c:pt>
                <c:pt idx="560">
                  <c:v>42659</c:v>
                </c:pt>
                <c:pt idx="561">
                  <c:v>42660</c:v>
                </c:pt>
                <c:pt idx="562">
                  <c:v>42661</c:v>
                </c:pt>
                <c:pt idx="563">
                  <c:v>42662</c:v>
                </c:pt>
                <c:pt idx="564">
                  <c:v>42663</c:v>
                </c:pt>
                <c:pt idx="565">
                  <c:v>42664</c:v>
                </c:pt>
                <c:pt idx="566">
                  <c:v>42665</c:v>
                </c:pt>
                <c:pt idx="567">
                  <c:v>42666</c:v>
                </c:pt>
                <c:pt idx="568">
                  <c:v>42667</c:v>
                </c:pt>
                <c:pt idx="569">
                  <c:v>42668</c:v>
                </c:pt>
                <c:pt idx="570">
                  <c:v>42669</c:v>
                </c:pt>
                <c:pt idx="571">
                  <c:v>42670</c:v>
                </c:pt>
                <c:pt idx="572">
                  <c:v>42671</c:v>
                </c:pt>
                <c:pt idx="573">
                  <c:v>42672</c:v>
                </c:pt>
                <c:pt idx="574">
                  <c:v>42673</c:v>
                </c:pt>
                <c:pt idx="575">
                  <c:v>42674</c:v>
                </c:pt>
                <c:pt idx="576">
                  <c:v>42675</c:v>
                </c:pt>
                <c:pt idx="577">
                  <c:v>42676</c:v>
                </c:pt>
                <c:pt idx="578">
                  <c:v>42677</c:v>
                </c:pt>
                <c:pt idx="579">
                  <c:v>42678</c:v>
                </c:pt>
                <c:pt idx="580">
                  <c:v>42679</c:v>
                </c:pt>
                <c:pt idx="581">
                  <c:v>42680</c:v>
                </c:pt>
                <c:pt idx="582">
                  <c:v>42681</c:v>
                </c:pt>
                <c:pt idx="583">
                  <c:v>42682</c:v>
                </c:pt>
                <c:pt idx="584">
                  <c:v>42683</c:v>
                </c:pt>
                <c:pt idx="585">
                  <c:v>42684</c:v>
                </c:pt>
                <c:pt idx="586">
                  <c:v>42685</c:v>
                </c:pt>
                <c:pt idx="587">
                  <c:v>42686</c:v>
                </c:pt>
                <c:pt idx="588">
                  <c:v>42687</c:v>
                </c:pt>
                <c:pt idx="589">
                  <c:v>42688</c:v>
                </c:pt>
                <c:pt idx="590">
                  <c:v>42689</c:v>
                </c:pt>
                <c:pt idx="591">
                  <c:v>42690</c:v>
                </c:pt>
                <c:pt idx="592">
                  <c:v>42691</c:v>
                </c:pt>
                <c:pt idx="593">
                  <c:v>42692</c:v>
                </c:pt>
                <c:pt idx="594">
                  <c:v>42693</c:v>
                </c:pt>
                <c:pt idx="595">
                  <c:v>42694</c:v>
                </c:pt>
                <c:pt idx="596">
                  <c:v>42695</c:v>
                </c:pt>
                <c:pt idx="597">
                  <c:v>42696</c:v>
                </c:pt>
                <c:pt idx="598">
                  <c:v>42697</c:v>
                </c:pt>
                <c:pt idx="599">
                  <c:v>42698</c:v>
                </c:pt>
                <c:pt idx="600">
                  <c:v>42699</c:v>
                </c:pt>
                <c:pt idx="601">
                  <c:v>42700</c:v>
                </c:pt>
                <c:pt idx="602">
                  <c:v>42701</c:v>
                </c:pt>
                <c:pt idx="603">
                  <c:v>42702</c:v>
                </c:pt>
                <c:pt idx="604">
                  <c:v>42703</c:v>
                </c:pt>
                <c:pt idx="605">
                  <c:v>42704</c:v>
                </c:pt>
                <c:pt idx="606">
                  <c:v>42705</c:v>
                </c:pt>
                <c:pt idx="607">
                  <c:v>42706</c:v>
                </c:pt>
                <c:pt idx="608">
                  <c:v>42707</c:v>
                </c:pt>
                <c:pt idx="609">
                  <c:v>42708</c:v>
                </c:pt>
                <c:pt idx="610">
                  <c:v>42709</c:v>
                </c:pt>
                <c:pt idx="611">
                  <c:v>42710</c:v>
                </c:pt>
                <c:pt idx="612">
                  <c:v>42711</c:v>
                </c:pt>
                <c:pt idx="613">
                  <c:v>42712</c:v>
                </c:pt>
                <c:pt idx="614">
                  <c:v>42713</c:v>
                </c:pt>
                <c:pt idx="615">
                  <c:v>42714</c:v>
                </c:pt>
                <c:pt idx="616">
                  <c:v>42715</c:v>
                </c:pt>
                <c:pt idx="617">
                  <c:v>42716</c:v>
                </c:pt>
                <c:pt idx="618">
                  <c:v>42717</c:v>
                </c:pt>
                <c:pt idx="619">
                  <c:v>42718</c:v>
                </c:pt>
                <c:pt idx="620">
                  <c:v>42719</c:v>
                </c:pt>
                <c:pt idx="621">
                  <c:v>42720</c:v>
                </c:pt>
                <c:pt idx="622">
                  <c:v>42721</c:v>
                </c:pt>
                <c:pt idx="623">
                  <c:v>42722</c:v>
                </c:pt>
                <c:pt idx="624">
                  <c:v>42723</c:v>
                </c:pt>
                <c:pt idx="625">
                  <c:v>42724</c:v>
                </c:pt>
                <c:pt idx="626">
                  <c:v>42725</c:v>
                </c:pt>
                <c:pt idx="627">
                  <c:v>42726</c:v>
                </c:pt>
                <c:pt idx="628">
                  <c:v>42727</c:v>
                </c:pt>
                <c:pt idx="629">
                  <c:v>42728</c:v>
                </c:pt>
                <c:pt idx="630">
                  <c:v>42729</c:v>
                </c:pt>
                <c:pt idx="631">
                  <c:v>42730</c:v>
                </c:pt>
                <c:pt idx="632">
                  <c:v>42731</c:v>
                </c:pt>
                <c:pt idx="633">
                  <c:v>42732</c:v>
                </c:pt>
                <c:pt idx="634">
                  <c:v>42733</c:v>
                </c:pt>
                <c:pt idx="635">
                  <c:v>42734</c:v>
                </c:pt>
                <c:pt idx="636">
                  <c:v>42735</c:v>
                </c:pt>
                <c:pt idx="637">
                  <c:v>42736</c:v>
                </c:pt>
                <c:pt idx="638">
                  <c:v>42737</c:v>
                </c:pt>
                <c:pt idx="639">
                  <c:v>42738</c:v>
                </c:pt>
                <c:pt idx="640">
                  <c:v>42739</c:v>
                </c:pt>
                <c:pt idx="641">
                  <c:v>42740</c:v>
                </c:pt>
                <c:pt idx="642">
                  <c:v>42741</c:v>
                </c:pt>
                <c:pt idx="643">
                  <c:v>42742</c:v>
                </c:pt>
                <c:pt idx="644">
                  <c:v>42743</c:v>
                </c:pt>
                <c:pt idx="645">
                  <c:v>42744</c:v>
                </c:pt>
                <c:pt idx="646">
                  <c:v>42745</c:v>
                </c:pt>
                <c:pt idx="647">
                  <c:v>42746</c:v>
                </c:pt>
                <c:pt idx="648">
                  <c:v>42747</c:v>
                </c:pt>
                <c:pt idx="649">
                  <c:v>42748</c:v>
                </c:pt>
                <c:pt idx="650">
                  <c:v>42749</c:v>
                </c:pt>
                <c:pt idx="651">
                  <c:v>42750</c:v>
                </c:pt>
                <c:pt idx="652">
                  <c:v>42751</c:v>
                </c:pt>
                <c:pt idx="653">
                  <c:v>42752</c:v>
                </c:pt>
                <c:pt idx="654">
                  <c:v>42753</c:v>
                </c:pt>
                <c:pt idx="655">
                  <c:v>42754</c:v>
                </c:pt>
                <c:pt idx="656">
                  <c:v>42755</c:v>
                </c:pt>
                <c:pt idx="657">
                  <c:v>42756</c:v>
                </c:pt>
                <c:pt idx="658">
                  <c:v>42757</c:v>
                </c:pt>
                <c:pt idx="659">
                  <c:v>42758</c:v>
                </c:pt>
                <c:pt idx="660">
                  <c:v>42759</c:v>
                </c:pt>
                <c:pt idx="661">
                  <c:v>42760</c:v>
                </c:pt>
                <c:pt idx="662">
                  <c:v>42761</c:v>
                </c:pt>
                <c:pt idx="663">
                  <c:v>42762</c:v>
                </c:pt>
                <c:pt idx="664">
                  <c:v>42763</c:v>
                </c:pt>
                <c:pt idx="665">
                  <c:v>42764</c:v>
                </c:pt>
                <c:pt idx="666">
                  <c:v>42765</c:v>
                </c:pt>
                <c:pt idx="667">
                  <c:v>42766</c:v>
                </c:pt>
                <c:pt idx="668">
                  <c:v>42767</c:v>
                </c:pt>
                <c:pt idx="669">
                  <c:v>42768</c:v>
                </c:pt>
                <c:pt idx="670">
                  <c:v>42769</c:v>
                </c:pt>
                <c:pt idx="671">
                  <c:v>42770</c:v>
                </c:pt>
                <c:pt idx="672">
                  <c:v>42771</c:v>
                </c:pt>
                <c:pt idx="673">
                  <c:v>42772</c:v>
                </c:pt>
                <c:pt idx="674">
                  <c:v>42773</c:v>
                </c:pt>
                <c:pt idx="675">
                  <c:v>42774</c:v>
                </c:pt>
                <c:pt idx="676">
                  <c:v>42775</c:v>
                </c:pt>
                <c:pt idx="677">
                  <c:v>42776</c:v>
                </c:pt>
                <c:pt idx="678">
                  <c:v>42777</c:v>
                </c:pt>
                <c:pt idx="679">
                  <c:v>42778</c:v>
                </c:pt>
                <c:pt idx="680">
                  <c:v>42779</c:v>
                </c:pt>
                <c:pt idx="681">
                  <c:v>42780</c:v>
                </c:pt>
                <c:pt idx="682">
                  <c:v>42781</c:v>
                </c:pt>
                <c:pt idx="683">
                  <c:v>42782</c:v>
                </c:pt>
                <c:pt idx="684">
                  <c:v>42783</c:v>
                </c:pt>
                <c:pt idx="685">
                  <c:v>42784</c:v>
                </c:pt>
                <c:pt idx="686">
                  <c:v>42785</c:v>
                </c:pt>
                <c:pt idx="687">
                  <c:v>42786</c:v>
                </c:pt>
                <c:pt idx="688">
                  <c:v>42787</c:v>
                </c:pt>
                <c:pt idx="689">
                  <c:v>42788</c:v>
                </c:pt>
                <c:pt idx="690">
                  <c:v>42789</c:v>
                </c:pt>
                <c:pt idx="691">
                  <c:v>42790</c:v>
                </c:pt>
                <c:pt idx="692">
                  <c:v>42791</c:v>
                </c:pt>
                <c:pt idx="693">
                  <c:v>42792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42798</c:v>
                </c:pt>
                <c:pt idx="700">
                  <c:v>42799</c:v>
                </c:pt>
                <c:pt idx="701">
                  <c:v>42800</c:v>
                </c:pt>
                <c:pt idx="702">
                  <c:v>42801</c:v>
                </c:pt>
                <c:pt idx="703">
                  <c:v>42802</c:v>
                </c:pt>
                <c:pt idx="704">
                  <c:v>42803</c:v>
                </c:pt>
                <c:pt idx="705">
                  <c:v>42804</c:v>
                </c:pt>
                <c:pt idx="706">
                  <c:v>42805</c:v>
                </c:pt>
                <c:pt idx="707">
                  <c:v>42806</c:v>
                </c:pt>
                <c:pt idx="708">
                  <c:v>42807</c:v>
                </c:pt>
                <c:pt idx="709">
                  <c:v>42808</c:v>
                </c:pt>
                <c:pt idx="710">
                  <c:v>42809</c:v>
                </c:pt>
                <c:pt idx="711">
                  <c:v>42810</c:v>
                </c:pt>
                <c:pt idx="712">
                  <c:v>42811</c:v>
                </c:pt>
                <c:pt idx="713">
                  <c:v>42812</c:v>
                </c:pt>
                <c:pt idx="714">
                  <c:v>42813</c:v>
                </c:pt>
                <c:pt idx="715">
                  <c:v>42814</c:v>
                </c:pt>
                <c:pt idx="716">
                  <c:v>42815</c:v>
                </c:pt>
                <c:pt idx="717">
                  <c:v>42816</c:v>
                </c:pt>
                <c:pt idx="718">
                  <c:v>42817</c:v>
                </c:pt>
                <c:pt idx="719">
                  <c:v>42818</c:v>
                </c:pt>
                <c:pt idx="720">
                  <c:v>42819</c:v>
                </c:pt>
                <c:pt idx="721">
                  <c:v>42820</c:v>
                </c:pt>
                <c:pt idx="722">
                  <c:v>42821</c:v>
                </c:pt>
                <c:pt idx="723">
                  <c:v>42822</c:v>
                </c:pt>
                <c:pt idx="724">
                  <c:v>42823</c:v>
                </c:pt>
                <c:pt idx="725">
                  <c:v>42824</c:v>
                </c:pt>
                <c:pt idx="726">
                  <c:v>42825</c:v>
                </c:pt>
                <c:pt idx="727">
                  <c:v>42826</c:v>
                </c:pt>
                <c:pt idx="728">
                  <c:v>42827</c:v>
                </c:pt>
                <c:pt idx="729">
                  <c:v>42828</c:v>
                </c:pt>
                <c:pt idx="730">
                  <c:v>42829</c:v>
                </c:pt>
                <c:pt idx="731">
                  <c:v>42830</c:v>
                </c:pt>
                <c:pt idx="732">
                  <c:v>42831</c:v>
                </c:pt>
                <c:pt idx="733">
                  <c:v>42832</c:v>
                </c:pt>
                <c:pt idx="734">
                  <c:v>42833</c:v>
                </c:pt>
                <c:pt idx="735">
                  <c:v>42834</c:v>
                </c:pt>
                <c:pt idx="736">
                  <c:v>42835</c:v>
                </c:pt>
                <c:pt idx="737">
                  <c:v>42836</c:v>
                </c:pt>
                <c:pt idx="738">
                  <c:v>42837</c:v>
                </c:pt>
                <c:pt idx="739">
                  <c:v>42838</c:v>
                </c:pt>
                <c:pt idx="740">
                  <c:v>42839</c:v>
                </c:pt>
                <c:pt idx="741">
                  <c:v>42840</c:v>
                </c:pt>
                <c:pt idx="742">
                  <c:v>42841</c:v>
                </c:pt>
                <c:pt idx="743">
                  <c:v>42842</c:v>
                </c:pt>
                <c:pt idx="744">
                  <c:v>42843</c:v>
                </c:pt>
                <c:pt idx="745">
                  <c:v>42844</c:v>
                </c:pt>
                <c:pt idx="746">
                  <c:v>42845</c:v>
                </c:pt>
                <c:pt idx="747">
                  <c:v>42846</c:v>
                </c:pt>
                <c:pt idx="748">
                  <c:v>42847</c:v>
                </c:pt>
                <c:pt idx="749">
                  <c:v>42848</c:v>
                </c:pt>
                <c:pt idx="750">
                  <c:v>42849</c:v>
                </c:pt>
                <c:pt idx="751">
                  <c:v>42850</c:v>
                </c:pt>
                <c:pt idx="752">
                  <c:v>42851</c:v>
                </c:pt>
                <c:pt idx="753">
                  <c:v>42852</c:v>
                </c:pt>
                <c:pt idx="754">
                  <c:v>42853</c:v>
                </c:pt>
                <c:pt idx="755">
                  <c:v>42854</c:v>
                </c:pt>
                <c:pt idx="756">
                  <c:v>42855</c:v>
                </c:pt>
                <c:pt idx="757">
                  <c:v>42856</c:v>
                </c:pt>
                <c:pt idx="758">
                  <c:v>42857</c:v>
                </c:pt>
                <c:pt idx="759">
                  <c:v>42858</c:v>
                </c:pt>
                <c:pt idx="760">
                  <c:v>42859</c:v>
                </c:pt>
                <c:pt idx="761">
                  <c:v>42860</c:v>
                </c:pt>
                <c:pt idx="762">
                  <c:v>42861</c:v>
                </c:pt>
                <c:pt idx="763">
                  <c:v>42862</c:v>
                </c:pt>
                <c:pt idx="764">
                  <c:v>42863</c:v>
                </c:pt>
                <c:pt idx="765">
                  <c:v>42864</c:v>
                </c:pt>
                <c:pt idx="766">
                  <c:v>42865</c:v>
                </c:pt>
                <c:pt idx="767">
                  <c:v>42866</c:v>
                </c:pt>
                <c:pt idx="768">
                  <c:v>42867</c:v>
                </c:pt>
                <c:pt idx="769">
                  <c:v>42868</c:v>
                </c:pt>
                <c:pt idx="770">
                  <c:v>42869</c:v>
                </c:pt>
                <c:pt idx="771">
                  <c:v>42870</c:v>
                </c:pt>
                <c:pt idx="772">
                  <c:v>42871</c:v>
                </c:pt>
                <c:pt idx="773">
                  <c:v>42872</c:v>
                </c:pt>
                <c:pt idx="774">
                  <c:v>42873</c:v>
                </c:pt>
                <c:pt idx="775">
                  <c:v>42874</c:v>
                </c:pt>
                <c:pt idx="776">
                  <c:v>42875</c:v>
                </c:pt>
                <c:pt idx="777">
                  <c:v>42876</c:v>
                </c:pt>
                <c:pt idx="778">
                  <c:v>42877</c:v>
                </c:pt>
                <c:pt idx="779">
                  <c:v>42878</c:v>
                </c:pt>
                <c:pt idx="780">
                  <c:v>42879</c:v>
                </c:pt>
                <c:pt idx="781">
                  <c:v>42880</c:v>
                </c:pt>
                <c:pt idx="782">
                  <c:v>42881</c:v>
                </c:pt>
                <c:pt idx="783">
                  <c:v>42882</c:v>
                </c:pt>
                <c:pt idx="784">
                  <c:v>42883</c:v>
                </c:pt>
                <c:pt idx="785">
                  <c:v>42884</c:v>
                </c:pt>
                <c:pt idx="786">
                  <c:v>42885</c:v>
                </c:pt>
                <c:pt idx="787">
                  <c:v>42886</c:v>
                </c:pt>
                <c:pt idx="788">
                  <c:v>42887</c:v>
                </c:pt>
                <c:pt idx="789">
                  <c:v>42888</c:v>
                </c:pt>
                <c:pt idx="790">
                  <c:v>42889</c:v>
                </c:pt>
                <c:pt idx="791">
                  <c:v>42890</c:v>
                </c:pt>
                <c:pt idx="792">
                  <c:v>42891</c:v>
                </c:pt>
                <c:pt idx="793">
                  <c:v>42892</c:v>
                </c:pt>
                <c:pt idx="794">
                  <c:v>42893</c:v>
                </c:pt>
                <c:pt idx="795">
                  <c:v>42894</c:v>
                </c:pt>
                <c:pt idx="796">
                  <c:v>42895</c:v>
                </c:pt>
                <c:pt idx="797">
                  <c:v>42896</c:v>
                </c:pt>
                <c:pt idx="798">
                  <c:v>42897</c:v>
                </c:pt>
                <c:pt idx="799">
                  <c:v>42898</c:v>
                </c:pt>
                <c:pt idx="800">
                  <c:v>42899</c:v>
                </c:pt>
                <c:pt idx="801">
                  <c:v>42900</c:v>
                </c:pt>
                <c:pt idx="802">
                  <c:v>42901</c:v>
                </c:pt>
                <c:pt idx="803">
                  <c:v>42902</c:v>
                </c:pt>
                <c:pt idx="804">
                  <c:v>42903</c:v>
                </c:pt>
                <c:pt idx="805">
                  <c:v>42904</c:v>
                </c:pt>
                <c:pt idx="806">
                  <c:v>42905</c:v>
                </c:pt>
                <c:pt idx="807">
                  <c:v>42906</c:v>
                </c:pt>
                <c:pt idx="808">
                  <c:v>42907</c:v>
                </c:pt>
                <c:pt idx="809">
                  <c:v>42908</c:v>
                </c:pt>
                <c:pt idx="810">
                  <c:v>42909</c:v>
                </c:pt>
                <c:pt idx="811">
                  <c:v>42910</c:v>
                </c:pt>
                <c:pt idx="812">
                  <c:v>42911</c:v>
                </c:pt>
                <c:pt idx="813">
                  <c:v>42912</c:v>
                </c:pt>
                <c:pt idx="814">
                  <c:v>42913</c:v>
                </c:pt>
                <c:pt idx="815">
                  <c:v>42914</c:v>
                </c:pt>
                <c:pt idx="816">
                  <c:v>42915</c:v>
                </c:pt>
                <c:pt idx="817">
                  <c:v>42916</c:v>
                </c:pt>
                <c:pt idx="818">
                  <c:v>42917</c:v>
                </c:pt>
                <c:pt idx="819">
                  <c:v>42918</c:v>
                </c:pt>
                <c:pt idx="820">
                  <c:v>42919</c:v>
                </c:pt>
                <c:pt idx="821">
                  <c:v>42920</c:v>
                </c:pt>
                <c:pt idx="822">
                  <c:v>42921</c:v>
                </c:pt>
                <c:pt idx="823">
                  <c:v>42922</c:v>
                </c:pt>
                <c:pt idx="824">
                  <c:v>42923</c:v>
                </c:pt>
                <c:pt idx="825">
                  <c:v>42924</c:v>
                </c:pt>
                <c:pt idx="826">
                  <c:v>42925</c:v>
                </c:pt>
                <c:pt idx="827">
                  <c:v>42926</c:v>
                </c:pt>
                <c:pt idx="828">
                  <c:v>42927</c:v>
                </c:pt>
                <c:pt idx="829">
                  <c:v>42928</c:v>
                </c:pt>
                <c:pt idx="830">
                  <c:v>42929</c:v>
                </c:pt>
                <c:pt idx="831">
                  <c:v>42930</c:v>
                </c:pt>
                <c:pt idx="832">
                  <c:v>42931</c:v>
                </c:pt>
                <c:pt idx="833">
                  <c:v>42932</c:v>
                </c:pt>
                <c:pt idx="834">
                  <c:v>42933</c:v>
                </c:pt>
                <c:pt idx="835">
                  <c:v>42934</c:v>
                </c:pt>
                <c:pt idx="836">
                  <c:v>42935</c:v>
                </c:pt>
                <c:pt idx="837">
                  <c:v>42936</c:v>
                </c:pt>
                <c:pt idx="838">
                  <c:v>42937</c:v>
                </c:pt>
                <c:pt idx="839">
                  <c:v>42938</c:v>
                </c:pt>
                <c:pt idx="840">
                  <c:v>42939</c:v>
                </c:pt>
                <c:pt idx="841">
                  <c:v>42940</c:v>
                </c:pt>
                <c:pt idx="842">
                  <c:v>42941</c:v>
                </c:pt>
                <c:pt idx="843">
                  <c:v>42942</c:v>
                </c:pt>
                <c:pt idx="844">
                  <c:v>42943</c:v>
                </c:pt>
                <c:pt idx="845">
                  <c:v>42944</c:v>
                </c:pt>
                <c:pt idx="846">
                  <c:v>42945</c:v>
                </c:pt>
                <c:pt idx="847">
                  <c:v>42946</c:v>
                </c:pt>
                <c:pt idx="848">
                  <c:v>42947</c:v>
                </c:pt>
                <c:pt idx="849">
                  <c:v>42948</c:v>
                </c:pt>
                <c:pt idx="850">
                  <c:v>42949</c:v>
                </c:pt>
                <c:pt idx="851">
                  <c:v>42950</c:v>
                </c:pt>
                <c:pt idx="852">
                  <c:v>42951</c:v>
                </c:pt>
                <c:pt idx="853">
                  <c:v>42952</c:v>
                </c:pt>
                <c:pt idx="854">
                  <c:v>42953</c:v>
                </c:pt>
                <c:pt idx="855">
                  <c:v>42954</c:v>
                </c:pt>
                <c:pt idx="856">
                  <c:v>42955</c:v>
                </c:pt>
                <c:pt idx="857">
                  <c:v>42956</c:v>
                </c:pt>
                <c:pt idx="858">
                  <c:v>42957</c:v>
                </c:pt>
                <c:pt idx="859">
                  <c:v>42958</c:v>
                </c:pt>
                <c:pt idx="860">
                  <c:v>42959</c:v>
                </c:pt>
                <c:pt idx="861">
                  <c:v>42960</c:v>
                </c:pt>
                <c:pt idx="862">
                  <c:v>42961</c:v>
                </c:pt>
                <c:pt idx="863">
                  <c:v>42962</c:v>
                </c:pt>
                <c:pt idx="864">
                  <c:v>42963</c:v>
                </c:pt>
                <c:pt idx="865">
                  <c:v>42964</c:v>
                </c:pt>
                <c:pt idx="866">
                  <c:v>42965</c:v>
                </c:pt>
                <c:pt idx="867">
                  <c:v>42966</c:v>
                </c:pt>
                <c:pt idx="868">
                  <c:v>42967</c:v>
                </c:pt>
                <c:pt idx="869">
                  <c:v>42968</c:v>
                </c:pt>
                <c:pt idx="870">
                  <c:v>42969</c:v>
                </c:pt>
                <c:pt idx="871">
                  <c:v>42970</c:v>
                </c:pt>
                <c:pt idx="872">
                  <c:v>42971</c:v>
                </c:pt>
                <c:pt idx="873">
                  <c:v>42972</c:v>
                </c:pt>
                <c:pt idx="874">
                  <c:v>42973</c:v>
                </c:pt>
                <c:pt idx="875">
                  <c:v>42974</c:v>
                </c:pt>
                <c:pt idx="876">
                  <c:v>42975</c:v>
                </c:pt>
                <c:pt idx="877">
                  <c:v>42976</c:v>
                </c:pt>
                <c:pt idx="878">
                  <c:v>42977</c:v>
                </c:pt>
                <c:pt idx="879">
                  <c:v>42978</c:v>
                </c:pt>
                <c:pt idx="880">
                  <c:v>42979</c:v>
                </c:pt>
                <c:pt idx="881">
                  <c:v>42980</c:v>
                </c:pt>
                <c:pt idx="882">
                  <c:v>42981</c:v>
                </c:pt>
                <c:pt idx="883">
                  <c:v>42982</c:v>
                </c:pt>
                <c:pt idx="884">
                  <c:v>42983</c:v>
                </c:pt>
                <c:pt idx="885">
                  <c:v>42984</c:v>
                </c:pt>
                <c:pt idx="886">
                  <c:v>42985</c:v>
                </c:pt>
                <c:pt idx="887">
                  <c:v>42986</c:v>
                </c:pt>
                <c:pt idx="888">
                  <c:v>42987</c:v>
                </c:pt>
                <c:pt idx="889">
                  <c:v>42988</c:v>
                </c:pt>
                <c:pt idx="890">
                  <c:v>42989</c:v>
                </c:pt>
                <c:pt idx="891">
                  <c:v>42990</c:v>
                </c:pt>
                <c:pt idx="892">
                  <c:v>42991</c:v>
                </c:pt>
                <c:pt idx="893">
                  <c:v>42992</c:v>
                </c:pt>
                <c:pt idx="894">
                  <c:v>42993</c:v>
                </c:pt>
                <c:pt idx="895">
                  <c:v>42994</c:v>
                </c:pt>
                <c:pt idx="896">
                  <c:v>42995</c:v>
                </c:pt>
                <c:pt idx="897">
                  <c:v>42996</c:v>
                </c:pt>
                <c:pt idx="898">
                  <c:v>42997</c:v>
                </c:pt>
                <c:pt idx="899">
                  <c:v>42998</c:v>
                </c:pt>
                <c:pt idx="900">
                  <c:v>42999</c:v>
                </c:pt>
                <c:pt idx="901">
                  <c:v>43000</c:v>
                </c:pt>
                <c:pt idx="902">
                  <c:v>43001</c:v>
                </c:pt>
                <c:pt idx="903">
                  <c:v>43002</c:v>
                </c:pt>
                <c:pt idx="904">
                  <c:v>43003</c:v>
                </c:pt>
                <c:pt idx="905">
                  <c:v>43004</c:v>
                </c:pt>
                <c:pt idx="906">
                  <c:v>43005</c:v>
                </c:pt>
                <c:pt idx="907">
                  <c:v>43006</c:v>
                </c:pt>
                <c:pt idx="908">
                  <c:v>43007</c:v>
                </c:pt>
                <c:pt idx="909">
                  <c:v>43008</c:v>
                </c:pt>
                <c:pt idx="910">
                  <c:v>43009</c:v>
                </c:pt>
                <c:pt idx="911">
                  <c:v>43010</c:v>
                </c:pt>
                <c:pt idx="912">
                  <c:v>43011</c:v>
                </c:pt>
                <c:pt idx="913">
                  <c:v>43012</c:v>
                </c:pt>
                <c:pt idx="914">
                  <c:v>43013</c:v>
                </c:pt>
                <c:pt idx="915">
                  <c:v>43014</c:v>
                </c:pt>
                <c:pt idx="916">
                  <c:v>43015</c:v>
                </c:pt>
                <c:pt idx="917">
                  <c:v>43016</c:v>
                </c:pt>
                <c:pt idx="918">
                  <c:v>43017</c:v>
                </c:pt>
                <c:pt idx="919">
                  <c:v>43018</c:v>
                </c:pt>
                <c:pt idx="920">
                  <c:v>43019</c:v>
                </c:pt>
                <c:pt idx="921">
                  <c:v>43020</c:v>
                </c:pt>
                <c:pt idx="922">
                  <c:v>43021</c:v>
                </c:pt>
                <c:pt idx="923">
                  <c:v>43022</c:v>
                </c:pt>
                <c:pt idx="924">
                  <c:v>43023</c:v>
                </c:pt>
                <c:pt idx="925">
                  <c:v>43024</c:v>
                </c:pt>
                <c:pt idx="926">
                  <c:v>43025</c:v>
                </c:pt>
                <c:pt idx="927">
                  <c:v>43026</c:v>
                </c:pt>
                <c:pt idx="928">
                  <c:v>43027</c:v>
                </c:pt>
                <c:pt idx="929">
                  <c:v>43028</c:v>
                </c:pt>
                <c:pt idx="930">
                  <c:v>43029</c:v>
                </c:pt>
                <c:pt idx="931">
                  <c:v>43030</c:v>
                </c:pt>
                <c:pt idx="932">
                  <c:v>43031</c:v>
                </c:pt>
                <c:pt idx="933">
                  <c:v>43032</c:v>
                </c:pt>
                <c:pt idx="934">
                  <c:v>43033</c:v>
                </c:pt>
                <c:pt idx="935">
                  <c:v>43034</c:v>
                </c:pt>
                <c:pt idx="936">
                  <c:v>43035</c:v>
                </c:pt>
                <c:pt idx="937">
                  <c:v>43036</c:v>
                </c:pt>
                <c:pt idx="938">
                  <c:v>43037</c:v>
                </c:pt>
                <c:pt idx="939">
                  <c:v>43038</c:v>
                </c:pt>
                <c:pt idx="940">
                  <c:v>43039</c:v>
                </c:pt>
                <c:pt idx="941">
                  <c:v>43040</c:v>
                </c:pt>
                <c:pt idx="942">
                  <c:v>43041</c:v>
                </c:pt>
                <c:pt idx="943">
                  <c:v>43042</c:v>
                </c:pt>
                <c:pt idx="944">
                  <c:v>43043</c:v>
                </c:pt>
                <c:pt idx="945">
                  <c:v>43044</c:v>
                </c:pt>
                <c:pt idx="946">
                  <c:v>43045</c:v>
                </c:pt>
                <c:pt idx="947">
                  <c:v>43046</c:v>
                </c:pt>
                <c:pt idx="948">
                  <c:v>43047</c:v>
                </c:pt>
                <c:pt idx="949">
                  <c:v>43048</c:v>
                </c:pt>
                <c:pt idx="950">
                  <c:v>43049</c:v>
                </c:pt>
                <c:pt idx="951">
                  <c:v>43050</c:v>
                </c:pt>
                <c:pt idx="952">
                  <c:v>43051</c:v>
                </c:pt>
                <c:pt idx="953">
                  <c:v>43052</c:v>
                </c:pt>
                <c:pt idx="954">
                  <c:v>43053</c:v>
                </c:pt>
                <c:pt idx="955">
                  <c:v>43054</c:v>
                </c:pt>
                <c:pt idx="956">
                  <c:v>43055</c:v>
                </c:pt>
                <c:pt idx="957">
                  <c:v>43056</c:v>
                </c:pt>
                <c:pt idx="958">
                  <c:v>43057</c:v>
                </c:pt>
                <c:pt idx="959">
                  <c:v>43058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43064</c:v>
                </c:pt>
                <c:pt idx="966">
                  <c:v>43065</c:v>
                </c:pt>
                <c:pt idx="967">
                  <c:v>43066</c:v>
                </c:pt>
                <c:pt idx="968">
                  <c:v>43067</c:v>
                </c:pt>
                <c:pt idx="969">
                  <c:v>43068</c:v>
                </c:pt>
                <c:pt idx="970">
                  <c:v>43069</c:v>
                </c:pt>
                <c:pt idx="971">
                  <c:v>43070</c:v>
                </c:pt>
                <c:pt idx="972">
                  <c:v>43071</c:v>
                </c:pt>
                <c:pt idx="973">
                  <c:v>43072</c:v>
                </c:pt>
                <c:pt idx="974">
                  <c:v>43073</c:v>
                </c:pt>
                <c:pt idx="975">
                  <c:v>43074</c:v>
                </c:pt>
                <c:pt idx="976">
                  <c:v>43075</c:v>
                </c:pt>
                <c:pt idx="977">
                  <c:v>43076</c:v>
                </c:pt>
                <c:pt idx="978">
                  <c:v>43077</c:v>
                </c:pt>
                <c:pt idx="979">
                  <c:v>43078</c:v>
                </c:pt>
                <c:pt idx="980">
                  <c:v>43079</c:v>
                </c:pt>
                <c:pt idx="981">
                  <c:v>43080</c:v>
                </c:pt>
                <c:pt idx="982">
                  <c:v>43081</c:v>
                </c:pt>
                <c:pt idx="983">
                  <c:v>43082</c:v>
                </c:pt>
                <c:pt idx="984">
                  <c:v>43083</c:v>
                </c:pt>
                <c:pt idx="985">
                  <c:v>43084</c:v>
                </c:pt>
                <c:pt idx="986">
                  <c:v>43085</c:v>
                </c:pt>
                <c:pt idx="987">
                  <c:v>43086</c:v>
                </c:pt>
                <c:pt idx="988">
                  <c:v>43087</c:v>
                </c:pt>
                <c:pt idx="989">
                  <c:v>43088</c:v>
                </c:pt>
                <c:pt idx="990">
                  <c:v>43089</c:v>
                </c:pt>
                <c:pt idx="991">
                  <c:v>43090</c:v>
                </c:pt>
                <c:pt idx="992">
                  <c:v>43091</c:v>
                </c:pt>
                <c:pt idx="993">
                  <c:v>43092</c:v>
                </c:pt>
                <c:pt idx="994">
                  <c:v>43093</c:v>
                </c:pt>
                <c:pt idx="995">
                  <c:v>43094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43099</c:v>
                </c:pt>
                <c:pt idx="1001">
                  <c:v>43100</c:v>
                </c:pt>
                <c:pt idx="1002">
                  <c:v>43101</c:v>
                </c:pt>
                <c:pt idx="1003">
                  <c:v>43102</c:v>
                </c:pt>
                <c:pt idx="1004">
                  <c:v>43103</c:v>
                </c:pt>
                <c:pt idx="1005">
                  <c:v>43104</c:v>
                </c:pt>
                <c:pt idx="1006">
                  <c:v>43105</c:v>
                </c:pt>
                <c:pt idx="1007">
                  <c:v>43106</c:v>
                </c:pt>
                <c:pt idx="1008">
                  <c:v>43107</c:v>
                </c:pt>
                <c:pt idx="1009">
                  <c:v>43108</c:v>
                </c:pt>
                <c:pt idx="1010">
                  <c:v>43109</c:v>
                </c:pt>
                <c:pt idx="1011">
                  <c:v>43110</c:v>
                </c:pt>
                <c:pt idx="1012">
                  <c:v>43111</c:v>
                </c:pt>
                <c:pt idx="1013">
                  <c:v>43112</c:v>
                </c:pt>
                <c:pt idx="1014">
                  <c:v>43113</c:v>
                </c:pt>
                <c:pt idx="1015">
                  <c:v>43114</c:v>
                </c:pt>
                <c:pt idx="1016">
                  <c:v>43115</c:v>
                </c:pt>
                <c:pt idx="1017">
                  <c:v>43116</c:v>
                </c:pt>
                <c:pt idx="1018">
                  <c:v>43117</c:v>
                </c:pt>
                <c:pt idx="1019">
                  <c:v>43118</c:v>
                </c:pt>
                <c:pt idx="1020">
                  <c:v>43119</c:v>
                </c:pt>
                <c:pt idx="1021">
                  <c:v>43120</c:v>
                </c:pt>
                <c:pt idx="1022">
                  <c:v>43121</c:v>
                </c:pt>
                <c:pt idx="1023">
                  <c:v>43122</c:v>
                </c:pt>
                <c:pt idx="1024">
                  <c:v>43123</c:v>
                </c:pt>
                <c:pt idx="1025">
                  <c:v>43124</c:v>
                </c:pt>
                <c:pt idx="1026">
                  <c:v>43125</c:v>
                </c:pt>
                <c:pt idx="1027">
                  <c:v>43126</c:v>
                </c:pt>
                <c:pt idx="1028">
                  <c:v>43127</c:v>
                </c:pt>
                <c:pt idx="1029">
                  <c:v>43128</c:v>
                </c:pt>
                <c:pt idx="1030">
                  <c:v>43129</c:v>
                </c:pt>
                <c:pt idx="1031">
                  <c:v>43130</c:v>
                </c:pt>
                <c:pt idx="1032">
                  <c:v>43131</c:v>
                </c:pt>
                <c:pt idx="1033">
                  <c:v>43132</c:v>
                </c:pt>
                <c:pt idx="1034">
                  <c:v>43133</c:v>
                </c:pt>
                <c:pt idx="1035">
                  <c:v>43134</c:v>
                </c:pt>
                <c:pt idx="1036">
                  <c:v>43135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43141</c:v>
                </c:pt>
                <c:pt idx="1043">
                  <c:v>43142</c:v>
                </c:pt>
                <c:pt idx="1044">
                  <c:v>43143</c:v>
                </c:pt>
                <c:pt idx="1045">
                  <c:v>43144</c:v>
                </c:pt>
                <c:pt idx="1046">
                  <c:v>43145</c:v>
                </c:pt>
                <c:pt idx="1047">
                  <c:v>43146</c:v>
                </c:pt>
                <c:pt idx="1048">
                  <c:v>43147</c:v>
                </c:pt>
                <c:pt idx="1049">
                  <c:v>43148</c:v>
                </c:pt>
                <c:pt idx="1050">
                  <c:v>43149</c:v>
                </c:pt>
                <c:pt idx="1051">
                  <c:v>43150</c:v>
                </c:pt>
                <c:pt idx="1052">
                  <c:v>43151</c:v>
                </c:pt>
                <c:pt idx="1053">
                  <c:v>43152</c:v>
                </c:pt>
                <c:pt idx="1054">
                  <c:v>43153</c:v>
                </c:pt>
                <c:pt idx="1055">
                  <c:v>43154</c:v>
                </c:pt>
                <c:pt idx="1056">
                  <c:v>43155</c:v>
                </c:pt>
                <c:pt idx="1057">
                  <c:v>43156</c:v>
                </c:pt>
                <c:pt idx="1058">
                  <c:v>43157</c:v>
                </c:pt>
                <c:pt idx="1059">
                  <c:v>43158</c:v>
                </c:pt>
                <c:pt idx="1060">
                  <c:v>43159</c:v>
                </c:pt>
                <c:pt idx="1061">
                  <c:v>43160</c:v>
                </c:pt>
                <c:pt idx="1062">
                  <c:v>43161</c:v>
                </c:pt>
                <c:pt idx="1063">
                  <c:v>43162</c:v>
                </c:pt>
                <c:pt idx="1064">
                  <c:v>43163</c:v>
                </c:pt>
                <c:pt idx="1065">
                  <c:v>43164</c:v>
                </c:pt>
                <c:pt idx="1066">
                  <c:v>43165</c:v>
                </c:pt>
                <c:pt idx="1067">
                  <c:v>43166</c:v>
                </c:pt>
                <c:pt idx="1068">
                  <c:v>43167</c:v>
                </c:pt>
                <c:pt idx="1069">
                  <c:v>43168</c:v>
                </c:pt>
                <c:pt idx="1070">
                  <c:v>43169</c:v>
                </c:pt>
                <c:pt idx="1071">
                  <c:v>43170</c:v>
                </c:pt>
                <c:pt idx="1072">
                  <c:v>43171</c:v>
                </c:pt>
                <c:pt idx="1073">
                  <c:v>43172</c:v>
                </c:pt>
                <c:pt idx="1074">
                  <c:v>43173</c:v>
                </c:pt>
                <c:pt idx="1075">
                  <c:v>43174</c:v>
                </c:pt>
                <c:pt idx="1076">
                  <c:v>43175</c:v>
                </c:pt>
                <c:pt idx="1077">
                  <c:v>43176</c:v>
                </c:pt>
                <c:pt idx="1078">
                  <c:v>43177</c:v>
                </c:pt>
                <c:pt idx="1079">
                  <c:v>43178</c:v>
                </c:pt>
                <c:pt idx="1080">
                  <c:v>43179</c:v>
                </c:pt>
                <c:pt idx="1081">
                  <c:v>43180</c:v>
                </c:pt>
                <c:pt idx="1082">
                  <c:v>43181</c:v>
                </c:pt>
                <c:pt idx="1083">
                  <c:v>43182</c:v>
                </c:pt>
                <c:pt idx="1084">
                  <c:v>43183</c:v>
                </c:pt>
                <c:pt idx="1085">
                  <c:v>43184</c:v>
                </c:pt>
                <c:pt idx="1086">
                  <c:v>43185</c:v>
                </c:pt>
                <c:pt idx="1087">
                  <c:v>43186</c:v>
                </c:pt>
                <c:pt idx="1088">
                  <c:v>43187</c:v>
                </c:pt>
                <c:pt idx="1089">
                  <c:v>43188</c:v>
                </c:pt>
                <c:pt idx="1090">
                  <c:v>43189</c:v>
                </c:pt>
                <c:pt idx="1091">
                  <c:v>43190</c:v>
                </c:pt>
                <c:pt idx="1092">
                  <c:v>43191</c:v>
                </c:pt>
                <c:pt idx="1093">
                  <c:v>43192</c:v>
                </c:pt>
                <c:pt idx="1094">
                  <c:v>43193</c:v>
                </c:pt>
                <c:pt idx="1095">
                  <c:v>43194</c:v>
                </c:pt>
                <c:pt idx="1096">
                  <c:v>43195</c:v>
                </c:pt>
                <c:pt idx="1097">
                  <c:v>43196</c:v>
                </c:pt>
                <c:pt idx="1098">
                  <c:v>43197</c:v>
                </c:pt>
                <c:pt idx="1099">
                  <c:v>43198</c:v>
                </c:pt>
                <c:pt idx="1100">
                  <c:v>43199</c:v>
                </c:pt>
                <c:pt idx="1101">
                  <c:v>43200</c:v>
                </c:pt>
                <c:pt idx="1102">
                  <c:v>43201</c:v>
                </c:pt>
                <c:pt idx="1103">
                  <c:v>43202</c:v>
                </c:pt>
                <c:pt idx="1104">
                  <c:v>43203</c:v>
                </c:pt>
                <c:pt idx="1105">
                  <c:v>43204</c:v>
                </c:pt>
                <c:pt idx="1106">
                  <c:v>43205</c:v>
                </c:pt>
                <c:pt idx="1107">
                  <c:v>43206</c:v>
                </c:pt>
                <c:pt idx="1108">
                  <c:v>43207</c:v>
                </c:pt>
                <c:pt idx="1109">
                  <c:v>43208</c:v>
                </c:pt>
                <c:pt idx="1110">
                  <c:v>43209</c:v>
                </c:pt>
                <c:pt idx="1111">
                  <c:v>43210</c:v>
                </c:pt>
                <c:pt idx="1112">
                  <c:v>43211</c:v>
                </c:pt>
                <c:pt idx="1113">
                  <c:v>43212</c:v>
                </c:pt>
                <c:pt idx="1114">
                  <c:v>43213</c:v>
                </c:pt>
                <c:pt idx="1115">
                  <c:v>43214</c:v>
                </c:pt>
                <c:pt idx="1116">
                  <c:v>43215</c:v>
                </c:pt>
                <c:pt idx="1117">
                  <c:v>43216</c:v>
                </c:pt>
                <c:pt idx="1118">
                  <c:v>43217</c:v>
                </c:pt>
                <c:pt idx="1119">
                  <c:v>43218</c:v>
                </c:pt>
                <c:pt idx="1120">
                  <c:v>43219</c:v>
                </c:pt>
                <c:pt idx="1121">
                  <c:v>43220</c:v>
                </c:pt>
                <c:pt idx="1122">
                  <c:v>43221</c:v>
                </c:pt>
                <c:pt idx="1123">
                  <c:v>43222</c:v>
                </c:pt>
                <c:pt idx="1124">
                  <c:v>43223</c:v>
                </c:pt>
                <c:pt idx="1125">
                  <c:v>43224</c:v>
                </c:pt>
                <c:pt idx="1126">
                  <c:v>43225</c:v>
                </c:pt>
                <c:pt idx="1127">
                  <c:v>43226</c:v>
                </c:pt>
                <c:pt idx="1128">
                  <c:v>43227</c:v>
                </c:pt>
                <c:pt idx="1129">
                  <c:v>43228</c:v>
                </c:pt>
                <c:pt idx="1130">
                  <c:v>43229</c:v>
                </c:pt>
                <c:pt idx="1131">
                  <c:v>43230</c:v>
                </c:pt>
                <c:pt idx="1132">
                  <c:v>43231</c:v>
                </c:pt>
                <c:pt idx="1133">
                  <c:v>43232</c:v>
                </c:pt>
                <c:pt idx="1134">
                  <c:v>43233</c:v>
                </c:pt>
                <c:pt idx="1135">
                  <c:v>43234</c:v>
                </c:pt>
                <c:pt idx="1136">
                  <c:v>43235</c:v>
                </c:pt>
                <c:pt idx="1137">
                  <c:v>43236</c:v>
                </c:pt>
                <c:pt idx="1138">
                  <c:v>43237</c:v>
                </c:pt>
                <c:pt idx="1139">
                  <c:v>43238</c:v>
                </c:pt>
                <c:pt idx="1140">
                  <c:v>43239</c:v>
                </c:pt>
                <c:pt idx="1141">
                  <c:v>43240</c:v>
                </c:pt>
                <c:pt idx="1142">
                  <c:v>43241</c:v>
                </c:pt>
                <c:pt idx="1143">
                  <c:v>43242</c:v>
                </c:pt>
                <c:pt idx="1144">
                  <c:v>43243</c:v>
                </c:pt>
                <c:pt idx="1145">
                  <c:v>43244</c:v>
                </c:pt>
                <c:pt idx="1146">
                  <c:v>43245</c:v>
                </c:pt>
                <c:pt idx="1147">
                  <c:v>43246</c:v>
                </c:pt>
                <c:pt idx="1148">
                  <c:v>43247</c:v>
                </c:pt>
                <c:pt idx="1149">
                  <c:v>43248</c:v>
                </c:pt>
                <c:pt idx="1150">
                  <c:v>43249</c:v>
                </c:pt>
                <c:pt idx="1151">
                  <c:v>43250</c:v>
                </c:pt>
                <c:pt idx="1152">
                  <c:v>43251</c:v>
                </c:pt>
                <c:pt idx="1153">
                  <c:v>43252</c:v>
                </c:pt>
                <c:pt idx="1154">
                  <c:v>43253</c:v>
                </c:pt>
                <c:pt idx="1155">
                  <c:v>43254</c:v>
                </c:pt>
                <c:pt idx="1156">
                  <c:v>43255</c:v>
                </c:pt>
                <c:pt idx="1157">
                  <c:v>43256</c:v>
                </c:pt>
                <c:pt idx="1158">
                  <c:v>43257</c:v>
                </c:pt>
                <c:pt idx="1159">
                  <c:v>43258</c:v>
                </c:pt>
                <c:pt idx="1160">
                  <c:v>43259</c:v>
                </c:pt>
                <c:pt idx="1161">
                  <c:v>43260</c:v>
                </c:pt>
                <c:pt idx="1162">
                  <c:v>43261</c:v>
                </c:pt>
                <c:pt idx="1163">
                  <c:v>43262</c:v>
                </c:pt>
                <c:pt idx="1164">
                  <c:v>43263</c:v>
                </c:pt>
                <c:pt idx="1165">
                  <c:v>43264</c:v>
                </c:pt>
                <c:pt idx="1166">
                  <c:v>43265</c:v>
                </c:pt>
                <c:pt idx="1167">
                  <c:v>43266</c:v>
                </c:pt>
                <c:pt idx="1168">
                  <c:v>43267</c:v>
                </c:pt>
                <c:pt idx="1169">
                  <c:v>43268</c:v>
                </c:pt>
                <c:pt idx="1170">
                  <c:v>43269</c:v>
                </c:pt>
                <c:pt idx="1171">
                  <c:v>43270</c:v>
                </c:pt>
                <c:pt idx="1172">
                  <c:v>43271</c:v>
                </c:pt>
                <c:pt idx="1173">
                  <c:v>43272</c:v>
                </c:pt>
                <c:pt idx="1174">
                  <c:v>43273</c:v>
                </c:pt>
                <c:pt idx="1175">
                  <c:v>43274</c:v>
                </c:pt>
                <c:pt idx="1176">
                  <c:v>43275</c:v>
                </c:pt>
                <c:pt idx="1177">
                  <c:v>43276</c:v>
                </c:pt>
                <c:pt idx="1178">
                  <c:v>43277</c:v>
                </c:pt>
                <c:pt idx="1179">
                  <c:v>43278</c:v>
                </c:pt>
                <c:pt idx="1180">
                  <c:v>43279</c:v>
                </c:pt>
                <c:pt idx="1181">
                  <c:v>43280</c:v>
                </c:pt>
                <c:pt idx="1182">
                  <c:v>43281</c:v>
                </c:pt>
                <c:pt idx="1183">
                  <c:v>43282</c:v>
                </c:pt>
                <c:pt idx="1184">
                  <c:v>43283</c:v>
                </c:pt>
                <c:pt idx="1185">
                  <c:v>43284</c:v>
                </c:pt>
                <c:pt idx="1186">
                  <c:v>43285</c:v>
                </c:pt>
                <c:pt idx="1187">
                  <c:v>43286</c:v>
                </c:pt>
                <c:pt idx="1188">
                  <c:v>43287</c:v>
                </c:pt>
                <c:pt idx="1189">
                  <c:v>43288</c:v>
                </c:pt>
                <c:pt idx="1190">
                  <c:v>43289</c:v>
                </c:pt>
                <c:pt idx="1191">
                  <c:v>43290</c:v>
                </c:pt>
                <c:pt idx="1192">
                  <c:v>43291</c:v>
                </c:pt>
                <c:pt idx="1193">
                  <c:v>43292</c:v>
                </c:pt>
                <c:pt idx="1194">
                  <c:v>43293</c:v>
                </c:pt>
                <c:pt idx="1195">
                  <c:v>43294</c:v>
                </c:pt>
                <c:pt idx="1196">
                  <c:v>43295</c:v>
                </c:pt>
                <c:pt idx="1197">
                  <c:v>43296</c:v>
                </c:pt>
                <c:pt idx="1198">
                  <c:v>43297</c:v>
                </c:pt>
                <c:pt idx="1199">
                  <c:v>43298</c:v>
                </c:pt>
                <c:pt idx="1200">
                  <c:v>43299</c:v>
                </c:pt>
                <c:pt idx="1201">
                  <c:v>43300</c:v>
                </c:pt>
                <c:pt idx="1202">
                  <c:v>43301</c:v>
                </c:pt>
                <c:pt idx="1203">
                  <c:v>43302</c:v>
                </c:pt>
                <c:pt idx="1204">
                  <c:v>43303</c:v>
                </c:pt>
                <c:pt idx="1205">
                  <c:v>43304</c:v>
                </c:pt>
                <c:pt idx="1206">
                  <c:v>43305</c:v>
                </c:pt>
                <c:pt idx="1207">
                  <c:v>43306</c:v>
                </c:pt>
                <c:pt idx="1208">
                  <c:v>43307</c:v>
                </c:pt>
                <c:pt idx="1209">
                  <c:v>43308</c:v>
                </c:pt>
                <c:pt idx="1210">
                  <c:v>43309</c:v>
                </c:pt>
                <c:pt idx="1211">
                  <c:v>43310</c:v>
                </c:pt>
                <c:pt idx="1212">
                  <c:v>43311</c:v>
                </c:pt>
                <c:pt idx="1213">
                  <c:v>43312</c:v>
                </c:pt>
                <c:pt idx="1214">
                  <c:v>43313</c:v>
                </c:pt>
                <c:pt idx="1215">
                  <c:v>43314</c:v>
                </c:pt>
                <c:pt idx="1216">
                  <c:v>43315</c:v>
                </c:pt>
                <c:pt idx="1217">
                  <c:v>43316</c:v>
                </c:pt>
                <c:pt idx="1218">
                  <c:v>43317</c:v>
                </c:pt>
                <c:pt idx="1219">
                  <c:v>43318</c:v>
                </c:pt>
                <c:pt idx="1220">
                  <c:v>43319</c:v>
                </c:pt>
                <c:pt idx="1221">
                  <c:v>43320</c:v>
                </c:pt>
                <c:pt idx="1222">
                  <c:v>43321</c:v>
                </c:pt>
                <c:pt idx="1223">
                  <c:v>43322</c:v>
                </c:pt>
                <c:pt idx="1224">
                  <c:v>43323</c:v>
                </c:pt>
                <c:pt idx="1225">
                  <c:v>43324</c:v>
                </c:pt>
                <c:pt idx="1226">
                  <c:v>43325</c:v>
                </c:pt>
                <c:pt idx="1227">
                  <c:v>43326</c:v>
                </c:pt>
                <c:pt idx="1228">
                  <c:v>43327</c:v>
                </c:pt>
                <c:pt idx="1229">
                  <c:v>43328</c:v>
                </c:pt>
                <c:pt idx="1230">
                  <c:v>43329</c:v>
                </c:pt>
                <c:pt idx="1231">
                  <c:v>43330</c:v>
                </c:pt>
                <c:pt idx="1232">
                  <c:v>43331</c:v>
                </c:pt>
                <c:pt idx="1233">
                  <c:v>43332</c:v>
                </c:pt>
                <c:pt idx="1234">
                  <c:v>43333</c:v>
                </c:pt>
                <c:pt idx="1235">
                  <c:v>43334</c:v>
                </c:pt>
                <c:pt idx="1236">
                  <c:v>43335</c:v>
                </c:pt>
                <c:pt idx="1237">
                  <c:v>43336</c:v>
                </c:pt>
                <c:pt idx="1238">
                  <c:v>43337</c:v>
                </c:pt>
                <c:pt idx="1239">
                  <c:v>43338</c:v>
                </c:pt>
                <c:pt idx="1240">
                  <c:v>43339</c:v>
                </c:pt>
                <c:pt idx="1241">
                  <c:v>43340</c:v>
                </c:pt>
                <c:pt idx="1242">
                  <c:v>43341</c:v>
                </c:pt>
                <c:pt idx="1243">
                  <c:v>43342</c:v>
                </c:pt>
                <c:pt idx="1244">
                  <c:v>43343</c:v>
                </c:pt>
                <c:pt idx="1245">
                  <c:v>43344</c:v>
                </c:pt>
                <c:pt idx="1246">
                  <c:v>43345</c:v>
                </c:pt>
                <c:pt idx="1247">
                  <c:v>43346</c:v>
                </c:pt>
                <c:pt idx="1248">
                  <c:v>43347</c:v>
                </c:pt>
                <c:pt idx="1249">
                  <c:v>43348</c:v>
                </c:pt>
                <c:pt idx="1250">
                  <c:v>43349</c:v>
                </c:pt>
                <c:pt idx="1251">
                  <c:v>43350</c:v>
                </c:pt>
                <c:pt idx="1252">
                  <c:v>43351</c:v>
                </c:pt>
                <c:pt idx="1253">
                  <c:v>43352</c:v>
                </c:pt>
                <c:pt idx="1254">
                  <c:v>43353</c:v>
                </c:pt>
                <c:pt idx="1255">
                  <c:v>43354</c:v>
                </c:pt>
                <c:pt idx="1256">
                  <c:v>43355</c:v>
                </c:pt>
                <c:pt idx="1257">
                  <c:v>43356</c:v>
                </c:pt>
                <c:pt idx="1258">
                  <c:v>43357</c:v>
                </c:pt>
                <c:pt idx="1259">
                  <c:v>43358</c:v>
                </c:pt>
                <c:pt idx="1260">
                  <c:v>43359</c:v>
                </c:pt>
                <c:pt idx="1261">
                  <c:v>43360</c:v>
                </c:pt>
                <c:pt idx="1262">
                  <c:v>43361</c:v>
                </c:pt>
                <c:pt idx="1263">
                  <c:v>43362</c:v>
                </c:pt>
                <c:pt idx="1264">
                  <c:v>43363</c:v>
                </c:pt>
                <c:pt idx="1265">
                  <c:v>43364</c:v>
                </c:pt>
                <c:pt idx="1266">
                  <c:v>43365</c:v>
                </c:pt>
                <c:pt idx="1267">
                  <c:v>43366</c:v>
                </c:pt>
                <c:pt idx="1268">
                  <c:v>43367</c:v>
                </c:pt>
                <c:pt idx="1269">
                  <c:v>43368</c:v>
                </c:pt>
                <c:pt idx="1270">
                  <c:v>43369</c:v>
                </c:pt>
                <c:pt idx="1271">
                  <c:v>43370</c:v>
                </c:pt>
                <c:pt idx="1272">
                  <c:v>43371</c:v>
                </c:pt>
                <c:pt idx="1273">
                  <c:v>43372</c:v>
                </c:pt>
                <c:pt idx="1274">
                  <c:v>43373</c:v>
                </c:pt>
                <c:pt idx="1275">
                  <c:v>43374</c:v>
                </c:pt>
                <c:pt idx="1276">
                  <c:v>43375</c:v>
                </c:pt>
                <c:pt idx="1277">
                  <c:v>43376</c:v>
                </c:pt>
                <c:pt idx="1278">
                  <c:v>43377</c:v>
                </c:pt>
                <c:pt idx="1279">
                  <c:v>43378</c:v>
                </c:pt>
                <c:pt idx="1280">
                  <c:v>43379</c:v>
                </c:pt>
                <c:pt idx="1281">
                  <c:v>43380</c:v>
                </c:pt>
                <c:pt idx="1282">
                  <c:v>43381</c:v>
                </c:pt>
                <c:pt idx="1283">
                  <c:v>43382</c:v>
                </c:pt>
                <c:pt idx="1284">
                  <c:v>43383</c:v>
                </c:pt>
                <c:pt idx="1285">
                  <c:v>43384</c:v>
                </c:pt>
                <c:pt idx="1286">
                  <c:v>43385</c:v>
                </c:pt>
                <c:pt idx="1287">
                  <c:v>43386</c:v>
                </c:pt>
                <c:pt idx="1288">
                  <c:v>43387</c:v>
                </c:pt>
                <c:pt idx="1289">
                  <c:v>43388</c:v>
                </c:pt>
                <c:pt idx="1290">
                  <c:v>43389</c:v>
                </c:pt>
                <c:pt idx="1291">
                  <c:v>43390</c:v>
                </c:pt>
                <c:pt idx="1292">
                  <c:v>43391</c:v>
                </c:pt>
                <c:pt idx="1293">
                  <c:v>43392</c:v>
                </c:pt>
                <c:pt idx="1294">
                  <c:v>43393</c:v>
                </c:pt>
                <c:pt idx="1295">
                  <c:v>43394</c:v>
                </c:pt>
                <c:pt idx="1296">
                  <c:v>43395</c:v>
                </c:pt>
                <c:pt idx="1297">
                  <c:v>43396</c:v>
                </c:pt>
                <c:pt idx="1298">
                  <c:v>43397</c:v>
                </c:pt>
                <c:pt idx="1299">
                  <c:v>43398</c:v>
                </c:pt>
                <c:pt idx="1300">
                  <c:v>43399</c:v>
                </c:pt>
                <c:pt idx="1301">
                  <c:v>43400</c:v>
                </c:pt>
                <c:pt idx="1302">
                  <c:v>43401</c:v>
                </c:pt>
                <c:pt idx="1303">
                  <c:v>43402</c:v>
                </c:pt>
                <c:pt idx="1304">
                  <c:v>43403</c:v>
                </c:pt>
                <c:pt idx="1305">
                  <c:v>43404</c:v>
                </c:pt>
                <c:pt idx="1306">
                  <c:v>43405</c:v>
                </c:pt>
                <c:pt idx="1307">
                  <c:v>43406</c:v>
                </c:pt>
                <c:pt idx="1308">
                  <c:v>43407</c:v>
                </c:pt>
                <c:pt idx="1309">
                  <c:v>43408</c:v>
                </c:pt>
                <c:pt idx="1310">
                  <c:v>43409</c:v>
                </c:pt>
                <c:pt idx="1311">
                  <c:v>43410</c:v>
                </c:pt>
                <c:pt idx="1312">
                  <c:v>43411</c:v>
                </c:pt>
                <c:pt idx="1313">
                  <c:v>43412</c:v>
                </c:pt>
                <c:pt idx="1314">
                  <c:v>43413</c:v>
                </c:pt>
                <c:pt idx="1315">
                  <c:v>43414</c:v>
                </c:pt>
                <c:pt idx="1316">
                  <c:v>43415</c:v>
                </c:pt>
                <c:pt idx="1317">
                  <c:v>43416</c:v>
                </c:pt>
                <c:pt idx="1318">
                  <c:v>43417</c:v>
                </c:pt>
                <c:pt idx="1319">
                  <c:v>43418</c:v>
                </c:pt>
                <c:pt idx="1320">
                  <c:v>43419</c:v>
                </c:pt>
                <c:pt idx="1321">
                  <c:v>43420</c:v>
                </c:pt>
                <c:pt idx="1322">
                  <c:v>43421</c:v>
                </c:pt>
                <c:pt idx="1323">
                  <c:v>43422</c:v>
                </c:pt>
                <c:pt idx="1324">
                  <c:v>43423</c:v>
                </c:pt>
                <c:pt idx="1325">
                  <c:v>43424</c:v>
                </c:pt>
                <c:pt idx="1326">
                  <c:v>43425</c:v>
                </c:pt>
                <c:pt idx="1327">
                  <c:v>43426</c:v>
                </c:pt>
                <c:pt idx="1328">
                  <c:v>43427</c:v>
                </c:pt>
                <c:pt idx="1329">
                  <c:v>43428</c:v>
                </c:pt>
                <c:pt idx="1330">
                  <c:v>43429</c:v>
                </c:pt>
                <c:pt idx="1331">
                  <c:v>43430</c:v>
                </c:pt>
                <c:pt idx="1332">
                  <c:v>43431</c:v>
                </c:pt>
                <c:pt idx="1333">
                  <c:v>43432</c:v>
                </c:pt>
                <c:pt idx="1334">
                  <c:v>43433</c:v>
                </c:pt>
                <c:pt idx="1335">
                  <c:v>43434</c:v>
                </c:pt>
                <c:pt idx="1336">
                  <c:v>43435</c:v>
                </c:pt>
                <c:pt idx="1337">
                  <c:v>43436</c:v>
                </c:pt>
                <c:pt idx="1338">
                  <c:v>43437</c:v>
                </c:pt>
                <c:pt idx="1339">
                  <c:v>43438</c:v>
                </c:pt>
                <c:pt idx="1340">
                  <c:v>43439</c:v>
                </c:pt>
                <c:pt idx="1341">
                  <c:v>43440</c:v>
                </c:pt>
                <c:pt idx="1342">
                  <c:v>43441</c:v>
                </c:pt>
                <c:pt idx="1343">
                  <c:v>43442</c:v>
                </c:pt>
                <c:pt idx="1344">
                  <c:v>43443</c:v>
                </c:pt>
                <c:pt idx="1345">
                  <c:v>43444</c:v>
                </c:pt>
                <c:pt idx="1346">
                  <c:v>43445</c:v>
                </c:pt>
                <c:pt idx="1347">
                  <c:v>43446</c:v>
                </c:pt>
                <c:pt idx="1348">
                  <c:v>43447</c:v>
                </c:pt>
                <c:pt idx="1349">
                  <c:v>43448</c:v>
                </c:pt>
                <c:pt idx="1350">
                  <c:v>43449</c:v>
                </c:pt>
                <c:pt idx="1351">
                  <c:v>43450</c:v>
                </c:pt>
                <c:pt idx="1352">
                  <c:v>43451</c:v>
                </c:pt>
                <c:pt idx="1353">
                  <c:v>43452</c:v>
                </c:pt>
                <c:pt idx="1354">
                  <c:v>43453</c:v>
                </c:pt>
                <c:pt idx="1355">
                  <c:v>43454</c:v>
                </c:pt>
                <c:pt idx="1356">
                  <c:v>43455</c:v>
                </c:pt>
                <c:pt idx="1357">
                  <c:v>43456</c:v>
                </c:pt>
                <c:pt idx="1358">
                  <c:v>43457</c:v>
                </c:pt>
                <c:pt idx="1359">
                  <c:v>43458</c:v>
                </c:pt>
                <c:pt idx="1360">
                  <c:v>43459</c:v>
                </c:pt>
                <c:pt idx="1361">
                  <c:v>43460</c:v>
                </c:pt>
                <c:pt idx="1362">
                  <c:v>43461</c:v>
                </c:pt>
                <c:pt idx="1363">
                  <c:v>43462</c:v>
                </c:pt>
                <c:pt idx="1364">
                  <c:v>43463</c:v>
                </c:pt>
                <c:pt idx="1365">
                  <c:v>43464</c:v>
                </c:pt>
                <c:pt idx="1366">
                  <c:v>43465</c:v>
                </c:pt>
                <c:pt idx="1367">
                  <c:v>43466</c:v>
                </c:pt>
                <c:pt idx="1368">
                  <c:v>43467</c:v>
                </c:pt>
                <c:pt idx="1369">
                  <c:v>43468</c:v>
                </c:pt>
                <c:pt idx="1370">
                  <c:v>43469</c:v>
                </c:pt>
                <c:pt idx="1371">
                  <c:v>43470</c:v>
                </c:pt>
                <c:pt idx="1372">
                  <c:v>43471</c:v>
                </c:pt>
                <c:pt idx="1373">
                  <c:v>43472</c:v>
                </c:pt>
                <c:pt idx="1374">
                  <c:v>43473</c:v>
                </c:pt>
                <c:pt idx="1375">
                  <c:v>43474</c:v>
                </c:pt>
                <c:pt idx="1376">
                  <c:v>43475</c:v>
                </c:pt>
                <c:pt idx="1377">
                  <c:v>43476</c:v>
                </c:pt>
                <c:pt idx="1378">
                  <c:v>43477</c:v>
                </c:pt>
                <c:pt idx="1379">
                  <c:v>43478</c:v>
                </c:pt>
                <c:pt idx="1380">
                  <c:v>43479</c:v>
                </c:pt>
                <c:pt idx="1381">
                  <c:v>43480</c:v>
                </c:pt>
                <c:pt idx="1382">
                  <c:v>43481</c:v>
                </c:pt>
                <c:pt idx="1383">
                  <c:v>43482</c:v>
                </c:pt>
                <c:pt idx="1384">
                  <c:v>43483</c:v>
                </c:pt>
                <c:pt idx="1385">
                  <c:v>43484</c:v>
                </c:pt>
                <c:pt idx="1386">
                  <c:v>43485</c:v>
                </c:pt>
                <c:pt idx="1387">
                  <c:v>43486</c:v>
                </c:pt>
                <c:pt idx="1388">
                  <c:v>43487</c:v>
                </c:pt>
                <c:pt idx="1389">
                  <c:v>43488</c:v>
                </c:pt>
                <c:pt idx="1390">
                  <c:v>43489</c:v>
                </c:pt>
                <c:pt idx="1391">
                  <c:v>43490</c:v>
                </c:pt>
                <c:pt idx="1392">
                  <c:v>43491</c:v>
                </c:pt>
                <c:pt idx="1393">
                  <c:v>43492</c:v>
                </c:pt>
                <c:pt idx="1394">
                  <c:v>43493</c:v>
                </c:pt>
                <c:pt idx="1395">
                  <c:v>43494</c:v>
                </c:pt>
                <c:pt idx="1396">
                  <c:v>43495</c:v>
                </c:pt>
                <c:pt idx="1397">
                  <c:v>43496</c:v>
                </c:pt>
                <c:pt idx="1398">
                  <c:v>43497</c:v>
                </c:pt>
                <c:pt idx="1399">
                  <c:v>43498</c:v>
                </c:pt>
                <c:pt idx="1400">
                  <c:v>43499</c:v>
                </c:pt>
                <c:pt idx="1401">
                  <c:v>43500</c:v>
                </c:pt>
                <c:pt idx="1402">
                  <c:v>43501</c:v>
                </c:pt>
                <c:pt idx="1403">
                  <c:v>43502</c:v>
                </c:pt>
                <c:pt idx="1404">
                  <c:v>43503</c:v>
                </c:pt>
                <c:pt idx="1405">
                  <c:v>43504</c:v>
                </c:pt>
                <c:pt idx="1406">
                  <c:v>43505</c:v>
                </c:pt>
                <c:pt idx="1407">
                  <c:v>43506</c:v>
                </c:pt>
                <c:pt idx="1408">
                  <c:v>43507</c:v>
                </c:pt>
                <c:pt idx="1409">
                  <c:v>43508</c:v>
                </c:pt>
                <c:pt idx="1410">
                  <c:v>43509</c:v>
                </c:pt>
                <c:pt idx="1411">
                  <c:v>43510</c:v>
                </c:pt>
                <c:pt idx="1412">
                  <c:v>43511</c:v>
                </c:pt>
                <c:pt idx="1413">
                  <c:v>43512</c:v>
                </c:pt>
                <c:pt idx="1414">
                  <c:v>43513</c:v>
                </c:pt>
                <c:pt idx="1415">
                  <c:v>43514</c:v>
                </c:pt>
                <c:pt idx="1416">
                  <c:v>43515</c:v>
                </c:pt>
                <c:pt idx="1417">
                  <c:v>43516</c:v>
                </c:pt>
                <c:pt idx="1418">
                  <c:v>43517</c:v>
                </c:pt>
                <c:pt idx="1419">
                  <c:v>43518</c:v>
                </c:pt>
                <c:pt idx="1420">
                  <c:v>43519</c:v>
                </c:pt>
                <c:pt idx="1421">
                  <c:v>43520</c:v>
                </c:pt>
                <c:pt idx="1422">
                  <c:v>43521</c:v>
                </c:pt>
                <c:pt idx="1423">
                  <c:v>43522</c:v>
                </c:pt>
                <c:pt idx="1424">
                  <c:v>43523</c:v>
                </c:pt>
                <c:pt idx="1425">
                  <c:v>43524</c:v>
                </c:pt>
                <c:pt idx="1426">
                  <c:v>43525</c:v>
                </c:pt>
                <c:pt idx="1427">
                  <c:v>43526</c:v>
                </c:pt>
                <c:pt idx="1428">
                  <c:v>43527</c:v>
                </c:pt>
                <c:pt idx="1429">
                  <c:v>43528</c:v>
                </c:pt>
                <c:pt idx="1430">
                  <c:v>43529</c:v>
                </c:pt>
                <c:pt idx="1431">
                  <c:v>43530</c:v>
                </c:pt>
                <c:pt idx="1432">
                  <c:v>43531</c:v>
                </c:pt>
                <c:pt idx="1433">
                  <c:v>43532</c:v>
                </c:pt>
                <c:pt idx="1434">
                  <c:v>43533</c:v>
                </c:pt>
                <c:pt idx="1435">
                  <c:v>43534</c:v>
                </c:pt>
                <c:pt idx="1436">
                  <c:v>43535</c:v>
                </c:pt>
                <c:pt idx="1437">
                  <c:v>43536</c:v>
                </c:pt>
                <c:pt idx="1438">
                  <c:v>43537</c:v>
                </c:pt>
                <c:pt idx="1439">
                  <c:v>43538</c:v>
                </c:pt>
                <c:pt idx="1440">
                  <c:v>43539</c:v>
                </c:pt>
                <c:pt idx="1441">
                  <c:v>43540</c:v>
                </c:pt>
                <c:pt idx="1442">
                  <c:v>43541</c:v>
                </c:pt>
                <c:pt idx="1443">
                  <c:v>43542</c:v>
                </c:pt>
                <c:pt idx="1444">
                  <c:v>43543</c:v>
                </c:pt>
                <c:pt idx="1445">
                  <c:v>43544</c:v>
                </c:pt>
                <c:pt idx="1446">
                  <c:v>43545</c:v>
                </c:pt>
                <c:pt idx="1447">
                  <c:v>43546</c:v>
                </c:pt>
                <c:pt idx="1448">
                  <c:v>43547</c:v>
                </c:pt>
                <c:pt idx="1449">
                  <c:v>43548</c:v>
                </c:pt>
                <c:pt idx="1450">
                  <c:v>43549</c:v>
                </c:pt>
                <c:pt idx="1451">
                  <c:v>43550</c:v>
                </c:pt>
                <c:pt idx="1452">
                  <c:v>43551</c:v>
                </c:pt>
                <c:pt idx="1453">
                  <c:v>43552</c:v>
                </c:pt>
                <c:pt idx="1454">
                  <c:v>43553</c:v>
                </c:pt>
                <c:pt idx="1455">
                  <c:v>43554</c:v>
                </c:pt>
                <c:pt idx="1456">
                  <c:v>43555</c:v>
                </c:pt>
                <c:pt idx="1457">
                  <c:v>43556</c:v>
                </c:pt>
                <c:pt idx="1458">
                  <c:v>43557</c:v>
                </c:pt>
                <c:pt idx="1459">
                  <c:v>43558</c:v>
                </c:pt>
                <c:pt idx="1460">
                  <c:v>43559</c:v>
                </c:pt>
                <c:pt idx="1461">
                  <c:v>43560</c:v>
                </c:pt>
                <c:pt idx="1462">
                  <c:v>43561</c:v>
                </c:pt>
                <c:pt idx="1463">
                  <c:v>43562</c:v>
                </c:pt>
                <c:pt idx="1464">
                  <c:v>43563</c:v>
                </c:pt>
                <c:pt idx="1465">
                  <c:v>43564</c:v>
                </c:pt>
                <c:pt idx="1466">
                  <c:v>43565</c:v>
                </c:pt>
                <c:pt idx="1467">
                  <c:v>43566</c:v>
                </c:pt>
                <c:pt idx="1468">
                  <c:v>43567</c:v>
                </c:pt>
                <c:pt idx="1469">
                  <c:v>43568</c:v>
                </c:pt>
                <c:pt idx="1470">
                  <c:v>43569</c:v>
                </c:pt>
                <c:pt idx="1471">
                  <c:v>43570</c:v>
                </c:pt>
                <c:pt idx="1472">
                  <c:v>43571</c:v>
                </c:pt>
                <c:pt idx="1473">
                  <c:v>43572</c:v>
                </c:pt>
                <c:pt idx="1474">
                  <c:v>43573</c:v>
                </c:pt>
                <c:pt idx="1475">
                  <c:v>43574</c:v>
                </c:pt>
                <c:pt idx="1476">
                  <c:v>43575</c:v>
                </c:pt>
                <c:pt idx="1477">
                  <c:v>43576</c:v>
                </c:pt>
                <c:pt idx="1478">
                  <c:v>43577</c:v>
                </c:pt>
                <c:pt idx="1479">
                  <c:v>43578</c:v>
                </c:pt>
                <c:pt idx="1480">
                  <c:v>43579</c:v>
                </c:pt>
                <c:pt idx="1481">
                  <c:v>43580</c:v>
                </c:pt>
                <c:pt idx="1482">
                  <c:v>43581</c:v>
                </c:pt>
                <c:pt idx="1483">
                  <c:v>43582</c:v>
                </c:pt>
                <c:pt idx="1484">
                  <c:v>43583</c:v>
                </c:pt>
                <c:pt idx="1485">
                  <c:v>43584</c:v>
                </c:pt>
                <c:pt idx="1486">
                  <c:v>43585</c:v>
                </c:pt>
                <c:pt idx="1487">
                  <c:v>43586</c:v>
                </c:pt>
                <c:pt idx="1488">
                  <c:v>43587</c:v>
                </c:pt>
                <c:pt idx="1489">
                  <c:v>43588</c:v>
                </c:pt>
                <c:pt idx="1490">
                  <c:v>43589</c:v>
                </c:pt>
                <c:pt idx="1491">
                  <c:v>43590</c:v>
                </c:pt>
                <c:pt idx="1492">
                  <c:v>43591</c:v>
                </c:pt>
                <c:pt idx="1493">
                  <c:v>43592</c:v>
                </c:pt>
                <c:pt idx="1494">
                  <c:v>43593</c:v>
                </c:pt>
                <c:pt idx="1495">
                  <c:v>43594</c:v>
                </c:pt>
                <c:pt idx="1496">
                  <c:v>43595</c:v>
                </c:pt>
                <c:pt idx="1497">
                  <c:v>43596</c:v>
                </c:pt>
                <c:pt idx="1498">
                  <c:v>43597</c:v>
                </c:pt>
                <c:pt idx="1499">
                  <c:v>43598</c:v>
                </c:pt>
                <c:pt idx="1500">
                  <c:v>43599</c:v>
                </c:pt>
                <c:pt idx="1501">
                  <c:v>43600</c:v>
                </c:pt>
                <c:pt idx="1502">
                  <c:v>43601</c:v>
                </c:pt>
                <c:pt idx="1503">
                  <c:v>43602</c:v>
                </c:pt>
                <c:pt idx="1504">
                  <c:v>43603</c:v>
                </c:pt>
                <c:pt idx="1505">
                  <c:v>43604</c:v>
                </c:pt>
                <c:pt idx="1506">
                  <c:v>43605</c:v>
                </c:pt>
                <c:pt idx="1507">
                  <c:v>43606</c:v>
                </c:pt>
                <c:pt idx="1508">
                  <c:v>43607</c:v>
                </c:pt>
                <c:pt idx="1509">
                  <c:v>43608</c:v>
                </c:pt>
                <c:pt idx="1510">
                  <c:v>43609</c:v>
                </c:pt>
                <c:pt idx="1511">
                  <c:v>43610</c:v>
                </c:pt>
                <c:pt idx="1512">
                  <c:v>43611</c:v>
                </c:pt>
                <c:pt idx="1513">
                  <c:v>43612</c:v>
                </c:pt>
                <c:pt idx="1514">
                  <c:v>43613</c:v>
                </c:pt>
                <c:pt idx="1515">
                  <c:v>43614</c:v>
                </c:pt>
                <c:pt idx="1516">
                  <c:v>43615</c:v>
                </c:pt>
                <c:pt idx="1517">
                  <c:v>43616</c:v>
                </c:pt>
                <c:pt idx="1518">
                  <c:v>43617</c:v>
                </c:pt>
                <c:pt idx="1519">
                  <c:v>43618</c:v>
                </c:pt>
                <c:pt idx="1520">
                  <c:v>43619</c:v>
                </c:pt>
                <c:pt idx="1521">
                  <c:v>43620</c:v>
                </c:pt>
                <c:pt idx="1522">
                  <c:v>43621</c:v>
                </c:pt>
                <c:pt idx="1523">
                  <c:v>43622</c:v>
                </c:pt>
                <c:pt idx="1524">
                  <c:v>43623</c:v>
                </c:pt>
                <c:pt idx="1525">
                  <c:v>43624</c:v>
                </c:pt>
                <c:pt idx="1526">
                  <c:v>43625</c:v>
                </c:pt>
                <c:pt idx="1527">
                  <c:v>43626</c:v>
                </c:pt>
                <c:pt idx="1528">
                  <c:v>43627</c:v>
                </c:pt>
                <c:pt idx="1529">
                  <c:v>43628</c:v>
                </c:pt>
                <c:pt idx="1530">
                  <c:v>43629</c:v>
                </c:pt>
                <c:pt idx="1531">
                  <c:v>43630</c:v>
                </c:pt>
                <c:pt idx="1532">
                  <c:v>43631</c:v>
                </c:pt>
                <c:pt idx="1533">
                  <c:v>43632</c:v>
                </c:pt>
                <c:pt idx="1534">
                  <c:v>43633</c:v>
                </c:pt>
                <c:pt idx="1535">
                  <c:v>43634</c:v>
                </c:pt>
                <c:pt idx="1536">
                  <c:v>43635</c:v>
                </c:pt>
                <c:pt idx="1537">
                  <c:v>43636</c:v>
                </c:pt>
                <c:pt idx="1538">
                  <c:v>43637</c:v>
                </c:pt>
                <c:pt idx="1539">
                  <c:v>43638</c:v>
                </c:pt>
                <c:pt idx="1540">
                  <c:v>43639</c:v>
                </c:pt>
                <c:pt idx="1541">
                  <c:v>43640</c:v>
                </c:pt>
                <c:pt idx="1542">
                  <c:v>43641</c:v>
                </c:pt>
                <c:pt idx="1543">
                  <c:v>43642</c:v>
                </c:pt>
                <c:pt idx="1544">
                  <c:v>43643</c:v>
                </c:pt>
                <c:pt idx="1545">
                  <c:v>43644</c:v>
                </c:pt>
                <c:pt idx="1546">
                  <c:v>43645</c:v>
                </c:pt>
                <c:pt idx="1547">
                  <c:v>43646</c:v>
                </c:pt>
                <c:pt idx="1548">
                  <c:v>43647</c:v>
                </c:pt>
                <c:pt idx="1549">
                  <c:v>43648</c:v>
                </c:pt>
                <c:pt idx="1550">
                  <c:v>43649</c:v>
                </c:pt>
                <c:pt idx="1551">
                  <c:v>43650</c:v>
                </c:pt>
                <c:pt idx="1552">
                  <c:v>43651</c:v>
                </c:pt>
                <c:pt idx="1553">
                  <c:v>43652</c:v>
                </c:pt>
                <c:pt idx="1554">
                  <c:v>43653</c:v>
                </c:pt>
                <c:pt idx="1555">
                  <c:v>43654</c:v>
                </c:pt>
                <c:pt idx="1556">
                  <c:v>43655</c:v>
                </c:pt>
                <c:pt idx="1557">
                  <c:v>43656</c:v>
                </c:pt>
                <c:pt idx="1558">
                  <c:v>43657</c:v>
                </c:pt>
                <c:pt idx="1559">
                  <c:v>43658</c:v>
                </c:pt>
                <c:pt idx="1560">
                  <c:v>43659</c:v>
                </c:pt>
                <c:pt idx="1561">
                  <c:v>43660</c:v>
                </c:pt>
                <c:pt idx="1562">
                  <c:v>43661</c:v>
                </c:pt>
                <c:pt idx="1563">
                  <c:v>43662</c:v>
                </c:pt>
                <c:pt idx="1564">
                  <c:v>43663</c:v>
                </c:pt>
                <c:pt idx="1565">
                  <c:v>43664</c:v>
                </c:pt>
                <c:pt idx="1566">
                  <c:v>43665</c:v>
                </c:pt>
                <c:pt idx="1567">
                  <c:v>43666</c:v>
                </c:pt>
                <c:pt idx="1568">
                  <c:v>43667</c:v>
                </c:pt>
                <c:pt idx="1569">
                  <c:v>43668</c:v>
                </c:pt>
                <c:pt idx="1570">
                  <c:v>43669</c:v>
                </c:pt>
                <c:pt idx="1571">
                  <c:v>43670</c:v>
                </c:pt>
                <c:pt idx="1572">
                  <c:v>43671</c:v>
                </c:pt>
                <c:pt idx="1573">
                  <c:v>43672</c:v>
                </c:pt>
                <c:pt idx="1574">
                  <c:v>43673</c:v>
                </c:pt>
                <c:pt idx="1575">
                  <c:v>43674</c:v>
                </c:pt>
                <c:pt idx="1576">
                  <c:v>43675</c:v>
                </c:pt>
                <c:pt idx="1577">
                  <c:v>43676</c:v>
                </c:pt>
                <c:pt idx="1578">
                  <c:v>43677</c:v>
                </c:pt>
                <c:pt idx="1579">
                  <c:v>43678</c:v>
                </c:pt>
                <c:pt idx="1580">
                  <c:v>43679</c:v>
                </c:pt>
                <c:pt idx="1581">
                  <c:v>43680</c:v>
                </c:pt>
                <c:pt idx="1582">
                  <c:v>43681</c:v>
                </c:pt>
                <c:pt idx="1583">
                  <c:v>43682</c:v>
                </c:pt>
                <c:pt idx="1584">
                  <c:v>43683</c:v>
                </c:pt>
                <c:pt idx="1585">
                  <c:v>43684</c:v>
                </c:pt>
                <c:pt idx="1586">
                  <c:v>43685</c:v>
                </c:pt>
                <c:pt idx="1587">
                  <c:v>43686</c:v>
                </c:pt>
                <c:pt idx="1588">
                  <c:v>43687</c:v>
                </c:pt>
                <c:pt idx="1589">
                  <c:v>43688</c:v>
                </c:pt>
                <c:pt idx="1590">
                  <c:v>43689</c:v>
                </c:pt>
                <c:pt idx="1591">
                  <c:v>43690</c:v>
                </c:pt>
                <c:pt idx="1592">
                  <c:v>43691</c:v>
                </c:pt>
                <c:pt idx="1593">
                  <c:v>43692</c:v>
                </c:pt>
                <c:pt idx="1594">
                  <c:v>43693</c:v>
                </c:pt>
                <c:pt idx="1595">
                  <c:v>43694</c:v>
                </c:pt>
                <c:pt idx="1596">
                  <c:v>43695</c:v>
                </c:pt>
                <c:pt idx="1597">
                  <c:v>43696</c:v>
                </c:pt>
                <c:pt idx="1598">
                  <c:v>43697</c:v>
                </c:pt>
                <c:pt idx="1599">
                  <c:v>43698</c:v>
                </c:pt>
                <c:pt idx="1600">
                  <c:v>43699</c:v>
                </c:pt>
                <c:pt idx="1601">
                  <c:v>43700</c:v>
                </c:pt>
                <c:pt idx="1602">
                  <c:v>43701</c:v>
                </c:pt>
                <c:pt idx="1603">
                  <c:v>43702</c:v>
                </c:pt>
                <c:pt idx="1604">
                  <c:v>43703</c:v>
                </c:pt>
                <c:pt idx="1605">
                  <c:v>43704</c:v>
                </c:pt>
                <c:pt idx="1606">
                  <c:v>43705</c:v>
                </c:pt>
                <c:pt idx="1607">
                  <c:v>43706</c:v>
                </c:pt>
                <c:pt idx="1608">
                  <c:v>43707</c:v>
                </c:pt>
                <c:pt idx="1609">
                  <c:v>43708</c:v>
                </c:pt>
                <c:pt idx="1610">
                  <c:v>43709</c:v>
                </c:pt>
                <c:pt idx="1611">
                  <c:v>43710</c:v>
                </c:pt>
                <c:pt idx="1612">
                  <c:v>43711</c:v>
                </c:pt>
                <c:pt idx="1613">
                  <c:v>43712</c:v>
                </c:pt>
                <c:pt idx="1614">
                  <c:v>43713</c:v>
                </c:pt>
                <c:pt idx="1615">
                  <c:v>43714</c:v>
                </c:pt>
                <c:pt idx="1616">
                  <c:v>43715</c:v>
                </c:pt>
                <c:pt idx="1617">
                  <c:v>43716</c:v>
                </c:pt>
                <c:pt idx="1618">
                  <c:v>43717</c:v>
                </c:pt>
                <c:pt idx="1619">
                  <c:v>43718</c:v>
                </c:pt>
                <c:pt idx="1620">
                  <c:v>43719</c:v>
                </c:pt>
                <c:pt idx="1621">
                  <c:v>43720</c:v>
                </c:pt>
                <c:pt idx="1622">
                  <c:v>43721</c:v>
                </c:pt>
                <c:pt idx="1623">
                  <c:v>43722</c:v>
                </c:pt>
                <c:pt idx="1624">
                  <c:v>43723</c:v>
                </c:pt>
                <c:pt idx="1625">
                  <c:v>43724</c:v>
                </c:pt>
                <c:pt idx="1626">
                  <c:v>43725</c:v>
                </c:pt>
                <c:pt idx="1627">
                  <c:v>43726</c:v>
                </c:pt>
                <c:pt idx="1628">
                  <c:v>43727</c:v>
                </c:pt>
                <c:pt idx="1629">
                  <c:v>43728</c:v>
                </c:pt>
                <c:pt idx="1630">
                  <c:v>43729</c:v>
                </c:pt>
                <c:pt idx="1631">
                  <c:v>43730</c:v>
                </c:pt>
                <c:pt idx="1632">
                  <c:v>43731</c:v>
                </c:pt>
                <c:pt idx="1633">
                  <c:v>43732</c:v>
                </c:pt>
                <c:pt idx="1634">
                  <c:v>43733</c:v>
                </c:pt>
                <c:pt idx="1635">
                  <c:v>43734</c:v>
                </c:pt>
                <c:pt idx="1636">
                  <c:v>43735</c:v>
                </c:pt>
                <c:pt idx="1637">
                  <c:v>43736</c:v>
                </c:pt>
                <c:pt idx="1638">
                  <c:v>43737</c:v>
                </c:pt>
                <c:pt idx="1639">
                  <c:v>43738</c:v>
                </c:pt>
                <c:pt idx="1640">
                  <c:v>43739</c:v>
                </c:pt>
                <c:pt idx="1641">
                  <c:v>43740</c:v>
                </c:pt>
                <c:pt idx="1642">
                  <c:v>43741</c:v>
                </c:pt>
                <c:pt idx="1643">
                  <c:v>43742</c:v>
                </c:pt>
                <c:pt idx="1644">
                  <c:v>43743</c:v>
                </c:pt>
                <c:pt idx="1645">
                  <c:v>43744</c:v>
                </c:pt>
                <c:pt idx="1646">
                  <c:v>43745</c:v>
                </c:pt>
                <c:pt idx="1647">
                  <c:v>43746</c:v>
                </c:pt>
                <c:pt idx="1648">
                  <c:v>43747</c:v>
                </c:pt>
                <c:pt idx="1649">
                  <c:v>43748</c:v>
                </c:pt>
                <c:pt idx="1650">
                  <c:v>43749</c:v>
                </c:pt>
                <c:pt idx="1651">
                  <c:v>43750</c:v>
                </c:pt>
                <c:pt idx="1652">
                  <c:v>43751</c:v>
                </c:pt>
                <c:pt idx="1653">
                  <c:v>43752</c:v>
                </c:pt>
                <c:pt idx="1654">
                  <c:v>43753</c:v>
                </c:pt>
                <c:pt idx="1655">
                  <c:v>43754</c:v>
                </c:pt>
                <c:pt idx="1656">
                  <c:v>43755</c:v>
                </c:pt>
                <c:pt idx="1657">
                  <c:v>43756</c:v>
                </c:pt>
                <c:pt idx="1658">
                  <c:v>43757</c:v>
                </c:pt>
                <c:pt idx="1659">
                  <c:v>43758</c:v>
                </c:pt>
                <c:pt idx="1660">
                  <c:v>43759</c:v>
                </c:pt>
                <c:pt idx="1661">
                  <c:v>43760</c:v>
                </c:pt>
                <c:pt idx="1662">
                  <c:v>43761</c:v>
                </c:pt>
                <c:pt idx="1663">
                  <c:v>43762</c:v>
                </c:pt>
                <c:pt idx="1664">
                  <c:v>43763</c:v>
                </c:pt>
                <c:pt idx="1665">
                  <c:v>43764</c:v>
                </c:pt>
                <c:pt idx="1666">
                  <c:v>43765</c:v>
                </c:pt>
                <c:pt idx="1667">
                  <c:v>43766</c:v>
                </c:pt>
                <c:pt idx="1668">
                  <c:v>43767</c:v>
                </c:pt>
                <c:pt idx="1669">
                  <c:v>43768</c:v>
                </c:pt>
                <c:pt idx="1670">
                  <c:v>43769</c:v>
                </c:pt>
                <c:pt idx="1671">
                  <c:v>43770</c:v>
                </c:pt>
                <c:pt idx="1672">
                  <c:v>43771</c:v>
                </c:pt>
                <c:pt idx="1673">
                  <c:v>43772</c:v>
                </c:pt>
                <c:pt idx="1674">
                  <c:v>43773</c:v>
                </c:pt>
                <c:pt idx="1675">
                  <c:v>43774</c:v>
                </c:pt>
                <c:pt idx="1676">
                  <c:v>43775</c:v>
                </c:pt>
                <c:pt idx="1677">
                  <c:v>43776</c:v>
                </c:pt>
                <c:pt idx="1678">
                  <c:v>43777</c:v>
                </c:pt>
                <c:pt idx="1679">
                  <c:v>43778</c:v>
                </c:pt>
                <c:pt idx="1680">
                  <c:v>43779</c:v>
                </c:pt>
                <c:pt idx="1681">
                  <c:v>43780</c:v>
                </c:pt>
                <c:pt idx="1682">
                  <c:v>43781</c:v>
                </c:pt>
                <c:pt idx="1683">
                  <c:v>43782</c:v>
                </c:pt>
                <c:pt idx="1684">
                  <c:v>43783</c:v>
                </c:pt>
                <c:pt idx="1685">
                  <c:v>43784</c:v>
                </c:pt>
                <c:pt idx="1686">
                  <c:v>43785</c:v>
                </c:pt>
                <c:pt idx="1687">
                  <c:v>43786</c:v>
                </c:pt>
                <c:pt idx="1688">
                  <c:v>43787</c:v>
                </c:pt>
                <c:pt idx="1689">
                  <c:v>43788</c:v>
                </c:pt>
                <c:pt idx="1690">
                  <c:v>43789</c:v>
                </c:pt>
                <c:pt idx="1691">
                  <c:v>43790</c:v>
                </c:pt>
                <c:pt idx="1692">
                  <c:v>43791</c:v>
                </c:pt>
                <c:pt idx="1693">
                  <c:v>43792</c:v>
                </c:pt>
                <c:pt idx="1694">
                  <c:v>43793</c:v>
                </c:pt>
                <c:pt idx="1695">
                  <c:v>43794</c:v>
                </c:pt>
                <c:pt idx="1696">
                  <c:v>43795</c:v>
                </c:pt>
                <c:pt idx="1697">
                  <c:v>43796</c:v>
                </c:pt>
                <c:pt idx="1698">
                  <c:v>43797</c:v>
                </c:pt>
                <c:pt idx="1699">
                  <c:v>43798</c:v>
                </c:pt>
                <c:pt idx="1700">
                  <c:v>43799</c:v>
                </c:pt>
                <c:pt idx="1701">
                  <c:v>43800</c:v>
                </c:pt>
                <c:pt idx="1702">
                  <c:v>43801</c:v>
                </c:pt>
                <c:pt idx="1703">
                  <c:v>43802</c:v>
                </c:pt>
                <c:pt idx="1704">
                  <c:v>43803</c:v>
                </c:pt>
                <c:pt idx="1705">
                  <c:v>43804</c:v>
                </c:pt>
                <c:pt idx="1706">
                  <c:v>43805</c:v>
                </c:pt>
                <c:pt idx="1707">
                  <c:v>43806</c:v>
                </c:pt>
                <c:pt idx="1708">
                  <c:v>43807</c:v>
                </c:pt>
                <c:pt idx="1709">
                  <c:v>43808</c:v>
                </c:pt>
                <c:pt idx="1710">
                  <c:v>43809</c:v>
                </c:pt>
                <c:pt idx="1711">
                  <c:v>43810</c:v>
                </c:pt>
                <c:pt idx="1712">
                  <c:v>43811</c:v>
                </c:pt>
                <c:pt idx="1713">
                  <c:v>43812</c:v>
                </c:pt>
                <c:pt idx="1714">
                  <c:v>43813</c:v>
                </c:pt>
                <c:pt idx="1715">
                  <c:v>43814</c:v>
                </c:pt>
                <c:pt idx="1716">
                  <c:v>43815</c:v>
                </c:pt>
                <c:pt idx="1717">
                  <c:v>43816</c:v>
                </c:pt>
                <c:pt idx="1718">
                  <c:v>43817</c:v>
                </c:pt>
                <c:pt idx="1719">
                  <c:v>43818</c:v>
                </c:pt>
                <c:pt idx="1720">
                  <c:v>43819</c:v>
                </c:pt>
                <c:pt idx="1721">
                  <c:v>43820</c:v>
                </c:pt>
                <c:pt idx="1722">
                  <c:v>43821</c:v>
                </c:pt>
                <c:pt idx="1723">
                  <c:v>43822</c:v>
                </c:pt>
                <c:pt idx="1724">
                  <c:v>43823</c:v>
                </c:pt>
                <c:pt idx="1725">
                  <c:v>43824</c:v>
                </c:pt>
                <c:pt idx="1726">
                  <c:v>43825</c:v>
                </c:pt>
                <c:pt idx="1727">
                  <c:v>43826</c:v>
                </c:pt>
                <c:pt idx="1728">
                  <c:v>43827</c:v>
                </c:pt>
                <c:pt idx="1729">
                  <c:v>43828</c:v>
                </c:pt>
                <c:pt idx="1730">
                  <c:v>43829</c:v>
                </c:pt>
                <c:pt idx="1731">
                  <c:v>43830</c:v>
                </c:pt>
                <c:pt idx="1732">
                  <c:v>43831</c:v>
                </c:pt>
                <c:pt idx="1733">
                  <c:v>43832</c:v>
                </c:pt>
                <c:pt idx="1734">
                  <c:v>43833</c:v>
                </c:pt>
                <c:pt idx="1735">
                  <c:v>43834</c:v>
                </c:pt>
                <c:pt idx="1736">
                  <c:v>43835</c:v>
                </c:pt>
                <c:pt idx="1737">
                  <c:v>43836</c:v>
                </c:pt>
                <c:pt idx="1738">
                  <c:v>43837</c:v>
                </c:pt>
                <c:pt idx="1739">
                  <c:v>43838</c:v>
                </c:pt>
                <c:pt idx="1740">
                  <c:v>43839</c:v>
                </c:pt>
                <c:pt idx="1741">
                  <c:v>43840</c:v>
                </c:pt>
                <c:pt idx="1742">
                  <c:v>43841</c:v>
                </c:pt>
                <c:pt idx="1743">
                  <c:v>43842</c:v>
                </c:pt>
                <c:pt idx="1744">
                  <c:v>43843</c:v>
                </c:pt>
                <c:pt idx="1745">
                  <c:v>43844</c:v>
                </c:pt>
                <c:pt idx="1746">
                  <c:v>43845</c:v>
                </c:pt>
                <c:pt idx="1747">
                  <c:v>43846</c:v>
                </c:pt>
                <c:pt idx="1748">
                  <c:v>43847</c:v>
                </c:pt>
                <c:pt idx="1749">
                  <c:v>43848</c:v>
                </c:pt>
                <c:pt idx="1750">
                  <c:v>43849</c:v>
                </c:pt>
                <c:pt idx="1751">
                  <c:v>43850</c:v>
                </c:pt>
                <c:pt idx="1752">
                  <c:v>43851</c:v>
                </c:pt>
                <c:pt idx="1753">
                  <c:v>43852</c:v>
                </c:pt>
                <c:pt idx="1754">
                  <c:v>43853</c:v>
                </c:pt>
                <c:pt idx="1755">
                  <c:v>43854</c:v>
                </c:pt>
                <c:pt idx="1756">
                  <c:v>43855</c:v>
                </c:pt>
                <c:pt idx="1757">
                  <c:v>43856</c:v>
                </c:pt>
                <c:pt idx="1758">
                  <c:v>43857</c:v>
                </c:pt>
                <c:pt idx="1759">
                  <c:v>43858</c:v>
                </c:pt>
                <c:pt idx="1760">
                  <c:v>43859</c:v>
                </c:pt>
                <c:pt idx="1761">
                  <c:v>43860</c:v>
                </c:pt>
                <c:pt idx="1762">
                  <c:v>43861</c:v>
                </c:pt>
                <c:pt idx="1763">
                  <c:v>43862</c:v>
                </c:pt>
                <c:pt idx="1764">
                  <c:v>43863</c:v>
                </c:pt>
                <c:pt idx="1765">
                  <c:v>43864</c:v>
                </c:pt>
                <c:pt idx="1766">
                  <c:v>43865</c:v>
                </c:pt>
                <c:pt idx="1767">
                  <c:v>43866</c:v>
                </c:pt>
                <c:pt idx="1768">
                  <c:v>43867</c:v>
                </c:pt>
                <c:pt idx="1769">
                  <c:v>43868</c:v>
                </c:pt>
                <c:pt idx="1770">
                  <c:v>43869</c:v>
                </c:pt>
                <c:pt idx="1771">
                  <c:v>43870</c:v>
                </c:pt>
                <c:pt idx="1772">
                  <c:v>43871</c:v>
                </c:pt>
                <c:pt idx="1773">
                  <c:v>43872</c:v>
                </c:pt>
                <c:pt idx="1774">
                  <c:v>43873</c:v>
                </c:pt>
                <c:pt idx="1775">
                  <c:v>43874</c:v>
                </c:pt>
                <c:pt idx="1776">
                  <c:v>43875</c:v>
                </c:pt>
                <c:pt idx="1777">
                  <c:v>43876</c:v>
                </c:pt>
                <c:pt idx="1778">
                  <c:v>43877</c:v>
                </c:pt>
                <c:pt idx="1779">
                  <c:v>43878</c:v>
                </c:pt>
                <c:pt idx="1780">
                  <c:v>43879</c:v>
                </c:pt>
                <c:pt idx="1781">
                  <c:v>43880</c:v>
                </c:pt>
                <c:pt idx="1782">
                  <c:v>43881</c:v>
                </c:pt>
                <c:pt idx="1783">
                  <c:v>43882</c:v>
                </c:pt>
                <c:pt idx="1784">
                  <c:v>43883</c:v>
                </c:pt>
                <c:pt idx="1785">
                  <c:v>43884</c:v>
                </c:pt>
                <c:pt idx="1786">
                  <c:v>43885</c:v>
                </c:pt>
                <c:pt idx="1787">
                  <c:v>43886</c:v>
                </c:pt>
                <c:pt idx="1788">
                  <c:v>43887</c:v>
                </c:pt>
                <c:pt idx="1789">
                  <c:v>43888</c:v>
                </c:pt>
                <c:pt idx="1790">
                  <c:v>43889</c:v>
                </c:pt>
                <c:pt idx="1791">
                  <c:v>43890</c:v>
                </c:pt>
                <c:pt idx="1792">
                  <c:v>43891</c:v>
                </c:pt>
                <c:pt idx="1793">
                  <c:v>43892</c:v>
                </c:pt>
                <c:pt idx="1794">
                  <c:v>43893</c:v>
                </c:pt>
                <c:pt idx="1795">
                  <c:v>43894</c:v>
                </c:pt>
                <c:pt idx="1796">
                  <c:v>43895</c:v>
                </c:pt>
                <c:pt idx="1797">
                  <c:v>43896</c:v>
                </c:pt>
                <c:pt idx="1798">
                  <c:v>43897</c:v>
                </c:pt>
                <c:pt idx="1799">
                  <c:v>43898</c:v>
                </c:pt>
                <c:pt idx="1800">
                  <c:v>43899</c:v>
                </c:pt>
                <c:pt idx="1801">
                  <c:v>43900</c:v>
                </c:pt>
                <c:pt idx="1802">
                  <c:v>43901</c:v>
                </c:pt>
                <c:pt idx="1803">
                  <c:v>43902</c:v>
                </c:pt>
                <c:pt idx="1804">
                  <c:v>43903</c:v>
                </c:pt>
                <c:pt idx="1805">
                  <c:v>43904</c:v>
                </c:pt>
                <c:pt idx="1806">
                  <c:v>43905</c:v>
                </c:pt>
                <c:pt idx="1807">
                  <c:v>43906</c:v>
                </c:pt>
                <c:pt idx="1808">
                  <c:v>43907</c:v>
                </c:pt>
                <c:pt idx="1809">
                  <c:v>43908</c:v>
                </c:pt>
                <c:pt idx="1810">
                  <c:v>43909</c:v>
                </c:pt>
                <c:pt idx="1811">
                  <c:v>43910</c:v>
                </c:pt>
                <c:pt idx="1812">
                  <c:v>43911</c:v>
                </c:pt>
                <c:pt idx="1813">
                  <c:v>43912</c:v>
                </c:pt>
                <c:pt idx="1814">
                  <c:v>43913</c:v>
                </c:pt>
                <c:pt idx="1815">
                  <c:v>43914</c:v>
                </c:pt>
                <c:pt idx="1816">
                  <c:v>43915</c:v>
                </c:pt>
                <c:pt idx="1817">
                  <c:v>43916</c:v>
                </c:pt>
                <c:pt idx="1818">
                  <c:v>43917</c:v>
                </c:pt>
                <c:pt idx="1819">
                  <c:v>43918</c:v>
                </c:pt>
                <c:pt idx="1820">
                  <c:v>43919</c:v>
                </c:pt>
                <c:pt idx="1821">
                  <c:v>43920</c:v>
                </c:pt>
                <c:pt idx="1822">
                  <c:v>43921</c:v>
                </c:pt>
                <c:pt idx="1823">
                  <c:v>43922</c:v>
                </c:pt>
                <c:pt idx="1824">
                  <c:v>43923</c:v>
                </c:pt>
                <c:pt idx="1825">
                  <c:v>43924</c:v>
                </c:pt>
                <c:pt idx="1826">
                  <c:v>43925</c:v>
                </c:pt>
                <c:pt idx="1827">
                  <c:v>43926</c:v>
                </c:pt>
                <c:pt idx="1828">
                  <c:v>43927</c:v>
                </c:pt>
                <c:pt idx="1829">
                  <c:v>43928</c:v>
                </c:pt>
                <c:pt idx="1830">
                  <c:v>43929</c:v>
                </c:pt>
                <c:pt idx="1831">
                  <c:v>43930</c:v>
                </c:pt>
                <c:pt idx="1832">
                  <c:v>43931</c:v>
                </c:pt>
                <c:pt idx="1833">
                  <c:v>43932</c:v>
                </c:pt>
                <c:pt idx="1834">
                  <c:v>43933</c:v>
                </c:pt>
                <c:pt idx="1835">
                  <c:v>43934</c:v>
                </c:pt>
                <c:pt idx="1836">
                  <c:v>43935</c:v>
                </c:pt>
                <c:pt idx="1837">
                  <c:v>43936</c:v>
                </c:pt>
                <c:pt idx="1838">
                  <c:v>43937</c:v>
                </c:pt>
                <c:pt idx="1839">
                  <c:v>43938</c:v>
                </c:pt>
                <c:pt idx="1840">
                  <c:v>43939</c:v>
                </c:pt>
                <c:pt idx="1841">
                  <c:v>43940</c:v>
                </c:pt>
                <c:pt idx="1842">
                  <c:v>43941</c:v>
                </c:pt>
                <c:pt idx="1843">
                  <c:v>43942</c:v>
                </c:pt>
                <c:pt idx="1844">
                  <c:v>43943</c:v>
                </c:pt>
                <c:pt idx="1845">
                  <c:v>43944</c:v>
                </c:pt>
                <c:pt idx="1846">
                  <c:v>43945</c:v>
                </c:pt>
                <c:pt idx="1847">
                  <c:v>43946</c:v>
                </c:pt>
                <c:pt idx="1848">
                  <c:v>43947</c:v>
                </c:pt>
                <c:pt idx="1849">
                  <c:v>43948</c:v>
                </c:pt>
                <c:pt idx="1850">
                  <c:v>43949</c:v>
                </c:pt>
                <c:pt idx="1851">
                  <c:v>43950</c:v>
                </c:pt>
                <c:pt idx="1852">
                  <c:v>43951</c:v>
                </c:pt>
                <c:pt idx="1853">
                  <c:v>43952</c:v>
                </c:pt>
                <c:pt idx="1854">
                  <c:v>43953</c:v>
                </c:pt>
                <c:pt idx="1855">
                  <c:v>43954</c:v>
                </c:pt>
                <c:pt idx="1856">
                  <c:v>43955</c:v>
                </c:pt>
                <c:pt idx="1857">
                  <c:v>43956</c:v>
                </c:pt>
                <c:pt idx="1858">
                  <c:v>43957</c:v>
                </c:pt>
                <c:pt idx="1859">
                  <c:v>43958</c:v>
                </c:pt>
                <c:pt idx="1860">
                  <c:v>43959</c:v>
                </c:pt>
                <c:pt idx="1861">
                  <c:v>43960</c:v>
                </c:pt>
                <c:pt idx="1862">
                  <c:v>43961</c:v>
                </c:pt>
                <c:pt idx="1863">
                  <c:v>43962</c:v>
                </c:pt>
                <c:pt idx="1864">
                  <c:v>43963</c:v>
                </c:pt>
                <c:pt idx="1865">
                  <c:v>43964</c:v>
                </c:pt>
                <c:pt idx="1866">
                  <c:v>43965</c:v>
                </c:pt>
                <c:pt idx="1867">
                  <c:v>43966</c:v>
                </c:pt>
                <c:pt idx="1868">
                  <c:v>43967</c:v>
                </c:pt>
                <c:pt idx="1869">
                  <c:v>43968</c:v>
                </c:pt>
                <c:pt idx="1870">
                  <c:v>43969</c:v>
                </c:pt>
                <c:pt idx="1871">
                  <c:v>43970</c:v>
                </c:pt>
                <c:pt idx="1872">
                  <c:v>43971</c:v>
                </c:pt>
                <c:pt idx="1873">
                  <c:v>43972</c:v>
                </c:pt>
                <c:pt idx="1874">
                  <c:v>43973</c:v>
                </c:pt>
                <c:pt idx="1875">
                  <c:v>43974</c:v>
                </c:pt>
                <c:pt idx="1876">
                  <c:v>43975</c:v>
                </c:pt>
                <c:pt idx="1877">
                  <c:v>43976</c:v>
                </c:pt>
                <c:pt idx="1878">
                  <c:v>43977</c:v>
                </c:pt>
                <c:pt idx="1879">
                  <c:v>43978</c:v>
                </c:pt>
                <c:pt idx="1880">
                  <c:v>43979</c:v>
                </c:pt>
                <c:pt idx="1881">
                  <c:v>43980</c:v>
                </c:pt>
                <c:pt idx="1882">
                  <c:v>43981</c:v>
                </c:pt>
                <c:pt idx="1883">
                  <c:v>43982</c:v>
                </c:pt>
                <c:pt idx="1884">
                  <c:v>43983</c:v>
                </c:pt>
                <c:pt idx="1885">
                  <c:v>43984</c:v>
                </c:pt>
                <c:pt idx="1886">
                  <c:v>43985</c:v>
                </c:pt>
                <c:pt idx="1887">
                  <c:v>43986</c:v>
                </c:pt>
                <c:pt idx="1888">
                  <c:v>43987</c:v>
                </c:pt>
                <c:pt idx="1889">
                  <c:v>43988</c:v>
                </c:pt>
                <c:pt idx="1890">
                  <c:v>43989</c:v>
                </c:pt>
                <c:pt idx="1891">
                  <c:v>43990</c:v>
                </c:pt>
                <c:pt idx="1892">
                  <c:v>43991</c:v>
                </c:pt>
                <c:pt idx="1893">
                  <c:v>43992</c:v>
                </c:pt>
                <c:pt idx="1894">
                  <c:v>43993</c:v>
                </c:pt>
                <c:pt idx="1895">
                  <c:v>43994</c:v>
                </c:pt>
                <c:pt idx="1896">
                  <c:v>43995</c:v>
                </c:pt>
                <c:pt idx="1897">
                  <c:v>43996</c:v>
                </c:pt>
                <c:pt idx="1898">
                  <c:v>43997</c:v>
                </c:pt>
                <c:pt idx="1899">
                  <c:v>43998</c:v>
                </c:pt>
                <c:pt idx="1900">
                  <c:v>43999</c:v>
                </c:pt>
                <c:pt idx="1901">
                  <c:v>44000</c:v>
                </c:pt>
                <c:pt idx="1902">
                  <c:v>44001</c:v>
                </c:pt>
                <c:pt idx="1903">
                  <c:v>44002</c:v>
                </c:pt>
                <c:pt idx="1904">
                  <c:v>44003</c:v>
                </c:pt>
                <c:pt idx="1905">
                  <c:v>44004</c:v>
                </c:pt>
                <c:pt idx="1906">
                  <c:v>44005</c:v>
                </c:pt>
                <c:pt idx="1907">
                  <c:v>44006</c:v>
                </c:pt>
                <c:pt idx="1908">
                  <c:v>44007</c:v>
                </c:pt>
                <c:pt idx="1909">
                  <c:v>44008</c:v>
                </c:pt>
                <c:pt idx="1910">
                  <c:v>44009</c:v>
                </c:pt>
                <c:pt idx="1911">
                  <c:v>44010</c:v>
                </c:pt>
                <c:pt idx="1912">
                  <c:v>44011</c:v>
                </c:pt>
                <c:pt idx="1913">
                  <c:v>44012</c:v>
                </c:pt>
                <c:pt idx="1914">
                  <c:v>44013</c:v>
                </c:pt>
                <c:pt idx="1915">
                  <c:v>44014</c:v>
                </c:pt>
                <c:pt idx="1916">
                  <c:v>44015</c:v>
                </c:pt>
                <c:pt idx="1917">
                  <c:v>44016</c:v>
                </c:pt>
                <c:pt idx="1918">
                  <c:v>44017</c:v>
                </c:pt>
                <c:pt idx="1919">
                  <c:v>44018</c:v>
                </c:pt>
                <c:pt idx="1920">
                  <c:v>44019</c:v>
                </c:pt>
                <c:pt idx="1921">
                  <c:v>44020</c:v>
                </c:pt>
                <c:pt idx="1922">
                  <c:v>44021</c:v>
                </c:pt>
                <c:pt idx="1923">
                  <c:v>44022</c:v>
                </c:pt>
                <c:pt idx="1924">
                  <c:v>44023</c:v>
                </c:pt>
                <c:pt idx="1925">
                  <c:v>44024</c:v>
                </c:pt>
                <c:pt idx="1926">
                  <c:v>44025</c:v>
                </c:pt>
                <c:pt idx="1927">
                  <c:v>44026</c:v>
                </c:pt>
                <c:pt idx="1928">
                  <c:v>44027</c:v>
                </c:pt>
                <c:pt idx="1929">
                  <c:v>44028</c:v>
                </c:pt>
                <c:pt idx="1930">
                  <c:v>44029</c:v>
                </c:pt>
                <c:pt idx="1931">
                  <c:v>44030</c:v>
                </c:pt>
                <c:pt idx="1932">
                  <c:v>44031</c:v>
                </c:pt>
                <c:pt idx="1933">
                  <c:v>44032</c:v>
                </c:pt>
                <c:pt idx="1934">
                  <c:v>44033</c:v>
                </c:pt>
                <c:pt idx="1935">
                  <c:v>44034</c:v>
                </c:pt>
                <c:pt idx="1936">
                  <c:v>44035</c:v>
                </c:pt>
                <c:pt idx="1937">
                  <c:v>44036</c:v>
                </c:pt>
                <c:pt idx="1938">
                  <c:v>44037</c:v>
                </c:pt>
                <c:pt idx="1939">
                  <c:v>44038</c:v>
                </c:pt>
                <c:pt idx="1940">
                  <c:v>44039</c:v>
                </c:pt>
                <c:pt idx="1941">
                  <c:v>44040</c:v>
                </c:pt>
                <c:pt idx="1942">
                  <c:v>44041</c:v>
                </c:pt>
                <c:pt idx="1943">
                  <c:v>44042</c:v>
                </c:pt>
                <c:pt idx="1944">
                  <c:v>44043</c:v>
                </c:pt>
                <c:pt idx="1945">
                  <c:v>44044</c:v>
                </c:pt>
                <c:pt idx="1946">
                  <c:v>44045</c:v>
                </c:pt>
                <c:pt idx="1947">
                  <c:v>44046</c:v>
                </c:pt>
                <c:pt idx="1948">
                  <c:v>44047</c:v>
                </c:pt>
                <c:pt idx="1949">
                  <c:v>44048</c:v>
                </c:pt>
                <c:pt idx="1950">
                  <c:v>44049</c:v>
                </c:pt>
                <c:pt idx="1951">
                  <c:v>44050</c:v>
                </c:pt>
                <c:pt idx="1952">
                  <c:v>44051</c:v>
                </c:pt>
                <c:pt idx="1953">
                  <c:v>44052</c:v>
                </c:pt>
                <c:pt idx="1954">
                  <c:v>44053</c:v>
                </c:pt>
                <c:pt idx="1955">
                  <c:v>44054</c:v>
                </c:pt>
                <c:pt idx="1956">
                  <c:v>44055</c:v>
                </c:pt>
                <c:pt idx="1957">
                  <c:v>44056</c:v>
                </c:pt>
                <c:pt idx="1958">
                  <c:v>44057</c:v>
                </c:pt>
                <c:pt idx="1959">
                  <c:v>44058</c:v>
                </c:pt>
                <c:pt idx="1960">
                  <c:v>44059</c:v>
                </c:pt>
                <c:pt idx="1961">
                  <c:v>44060</c:v>
                </c:pt>
                <c:pt idx="1962">
                  <c:v>44061</c:v>
                </c:pt>
                <c:pt idx="1963">
                  <c:v>44062</c:v>
                </c:pt>
                <c:pt idx="1964">
                  <c:v>44063</c:v>
                </c:pt>
                <c:pt idx="1965">
                  <c:v>44064</c:v>
                </c:pt>
                <c:pt idx="1966">
                  <c:v>44065</c:v>
                </c:pt>
                <c:pt idx="1967">
                  <c:v>44066</c:v>
                </c:pt>
                <c:pt idx="1968">
                  <c:v>44067</c:v>
                </c:pt>
                <c:pt idx="1969">
                  <c:v>44068</c:v>
                </c:pt>
                <c:pt idx="1970">
                  <c:v>44069</c:v>
                </c:pt>
                <c:pt idx="1971">
                  <c:v>44070</c:v>
                </c:pt>
                <c:pt idx="1972">
                  <c:v>44071</c:v>
                </c:pt>
                <c:pt idx="1973">
                  <c:v>44072</c:v>
                </c:pt>
                <c:pt idx="1974">
                  <c:v>44073</c:v>
                </c:pt>
                <c:pt idx="1975">
                  <c:v>44074</c:v>
                </c:pt>
                <c:pt idx="1976">
                  <c:v>44075</c:v>
                </c:pt>
                <c:pt idx="1977">
                  <c:v>44076</c:v>
                </c:pt>
                <c:pt idx="1978">
                  <c:v>44077</c:v>
                </c:pt>
                <c:pt idx="1979">
                  <c:v>44078</c:v>
                </c:pt>
                <c:pt idx="1980">
                  <c:v>44079</c:v>
                </c:pt>
                <c:pt idx="1981">
                  <c:v>44080</c:v>
                </c:pt>
                <c:pt idx="1982">
                  <c:v>44081</c:v>
                </c:pt>
                <c:pt idx="1983">
                  <c:v>44082</c:v>
                </c:pt>
                <c:pt idx="1984">
                  <c:v>44083</c:v>
                </c:pt>
                <c:pt idx="1985">
                  <c:v>44084</c:v>
                </c:pt>
                <c:pt idx="1986">
                  <c:v>44085</c:v>
                </c:pt>
                <c:pt idx="1987">
                  <c:v>44086</c:v>
                </c:pt>
                <c:pt idx="1988">
                  <c:v>44087</c:v>
                </c:pt>
                <c:pt idx="1989">
                  <c:v>44088</c:v>
                </c:pt>
                <c:pt idx="1990">
                  <c:v>44089</c:v>
                </c:pt>
                <c:pt idx="1991">
                  <c:v>44090</c:v>
                </c:pt>
                <c:pt idx="1992">
                  <c:v>44091</c:v>
                </c:pt>
                <c:pt idx="1993">
                  <c:v>44092</c:v>
                </c:pt>
                <c:pt idx="1994">
                  <c:v>44093</c:v>
                </c:pt>
                <c:pt idx="1995">
                  <c:v>44094</c:v>
                </c:pt>
                <c:pt idx="1996">
                  <c:v>44095</c:v>
                </c:pt>
                <c:pt idx="1997">
                  <c:v>44096</c:v>
                </c:pt>
                <c:pt idx="1998">
                  <c:v>44097</c:v>
                </c:pt>
                <c:pt idx="1999">
                  <c:v>44098</c:v>
                </c:pt>
                <c:pt idx="2000">
                  <c:v>44099</c:v>
                </c:pt>
                <c:pt idx="2001">
                  <c:v>44100</c:v>
                </c:pt>
                <c:pt idx="2002">
                  <c:v>44101</c:v>
                </c:pt>
                <c:pt idx="2003">
                  <c:v>44102</c:v>
                </c:pt>
                <c:pt idx="2004">
                  <c:v>44103</c:v>
                </c:pt>
                <c:pt idx="2005">
                  <c:v>44104</c:v>
                </c:pt>
                <c:pt idx="2006">
                  <c:v>44105</c:v>
                </c:pt>
                <c:pt idx="2007">
                  <c:v>44106</c:v>
                </c:pt>
                <c:pt idx="2008">
                  <c:v>44107</c:v>
                </c:pt>
                <c:pt idx="2009">
                  <c:v>44108</c:v>
                </c:pt>
                <c:pt idx="2010">
                  <c:v>44109</c:v>
                </c:pt>
                <c:pt idx="2011">
                  <c:v>44110</c:v>
                </c:pt>
                <c:pt idx="2012">
                  <c:v>44111</c:v>
                </c:pt>
                <c:pt idx="2013">
                  <c:v>44112</c:v>
                </c:pt>
                <c:pt idx="2014">
                  <c:v>44113</c:v>
                </c:pt>
                <c:pt idx="2015">
                  <c:v>44114</c:v>
                </c:pt>
                <c:pt idx="2016">
                  <c:v>44115</c:v>
                </c:pt>
                <c:pt idx="2017">
                  <c:v>44116</c:v>
                </c:pt>
                <c:pt idx="2018">
                  <c:v>44117</c:v>
                </c:pt>
                <c:pt idx="2019">
                  <c:v>44118</c:v>
                </c:pt>
                <c:pt idx="2020">
                  <c:v>44119</c:v>
                </c:pt>
                <c:pt idx="2021">
                  <c:v>44120</c:v>
                </c:pt>
                <c:pt idx="2022">
                  <c:v>44121</c:v>
                </c:pt>
                <c:pt idx="2023">
                  <c:v>44122</c:v>
                </c:pt>
                <c:pt idx="2024">
                  <c:v>44123</c:v>
                </c:pt>
                <c:pt idx="2025">
                  <c:v>44124</c:v>
                </c:pt>
                <c:pt idx="2026">
                  <c:v>44125</c:v>
                </c:pt>
                <c:pt idx="2027">
                  <c:v>44126</c:v>
                </c:pt>
                <c:pt idx="2028">
                  <c:v>44127</c:v>
                </c:pt>
                <c:pt idx="2029">
                  <c:v>44128</c:v>
                </c:pt>
                <c:pt idx="2030">
                  <c:v>44129</c:v>
                </c:pt>
                <c:pt idx="2031">
                  <c:v>44130</c:v>
                </c:pt>
                <c:pt idx="2032">
                  <c:v>44131</c:v>
                </c:pt>
                <c:pt idx="2033">
                  <c:v>44132</c:v>
                </c:pt>
                <c:pt idx="2034">
                  <c:v>44133</c:v>
                </c:pt>
                <c:pt idx="2035">
                  <c:v>44134</c:v>
                </c:pt>
                <c:pt idx="2036">
                  <c:v>44135</c:v>
                </c:pt>
                <c:pt idx="2037">
                  <c:v>44136</c:v>
                </c:pt>
                <c:pt idx="2038">
                  <c:v>44137</c:v>
                </c:pt>
                <c:pt idx="2039">
                  <c:v>44138</c:v>
                </c:pt>
                <c:pt idx="2040">
                  <c:v>44139</c:v>
                </c:pt>
                <c:pt idx="2041">
                  <c:v>44140</c:v>
                </c:pt>
                <c:pt idx="2042">
                  <c:v>44141</c:v>
                </c:pt>
                <c:pt idx="2043">
                  <c:v>44142</c:v>
                </c:pt>
                <c:pt idx="2044">
                  <c:v>44143</c:v>
                </c:pt>
                <c:pt idx="2045">
                  <c:v>44144</c:v>
                </c:pt>
                <c:pt idx="2046">
                  <c:v>44145</c:v>
                </c:pt>
                <c:pt idx="2047">
                  <c:v>44146</c:v>
                </c:pt>
                <c:pt idx="2048">
                  <c:v>44147</c:v>
                </c:pt>
                <c:pt idx="2049">
                  <c:v>44148</c:v>
                </c:pt>
                <c:pt idx="2050">
                  <c:v>44149</c:v>
                </c:pt>
                <c:pt idx="2051">
                  <c:v>44150</c:v>
                </c:pt>
                <c:pt idx="2052">
                  <c:v>44151</c:v>
                </c:pt>
                <c:pt idx="2053">
                  <c:v>44152</c:v>
                </c:pt>
                <c:pt idx="2054">
                  <c:v>44153</c:v>
                </c:pt>
                <c:pt idx="2055">
                  <c:v>44154</c:v>
                </c:pt>
                <c:pt idx="2056">
                  <c:v>44155</c:v>
                </c:pt>
                <c:pt idx="2057">
                  <c:v>44156</c:v>
                </c:pt>
                <c:pt idx="2058">
                  <c:v>44157</c:v>
                </c:pt>
                <c:pt idx="2059">
                  <c:v>44158</c:v>
                </c:pt>
                <c:pt idx="2060">
                  <c:v>44159</c:v>
                </c:pt>
                <c:pt idx="2061">
                  <c:v>44160</c:v>
                </c:pt>
                <c:pt idx="2062">
                  <c:v>44161</c:v>
                </c:pt>
                <c:pt idx="2063">
                  <c:v>44162</c:v>
                </c:pt>
                <c:pt idx="2064">
                  <c:v>44163</c:v>
                </c:pt>
                <c:pt idx="2065">
                  <c:v>44164</c:v>
                </c:pt>
                <c:pt idx="2066">
                  <c:v>44165</c:v>
                </c:pt>
                <c:pt idx="2067">
                  <c:v>44166</c:v>
                </c:pt>
                <c:pt idx="2068">
                  <c:v>44167</c:v>
                </c:pt>
                <c:pt idx="2069">
                  <c:v>44168</c:v>
                </c:pt>
                <c:pt idx="2070">
                  <c:v>44169</c:v>
                </c:pt>
                <c:pt idx="2071">
                  <c:v>44170</c:v>
                </c:pt>
                <c:pt idx="2072">
                  <c:v>44171</c:v>
                </c:pt>
                <c:pt idx="2073">
                  <c:v>44172</c:v>
                </c:pt>
                <c:pt idx="2074">
                  <c:v>44173</c:v>
                </c:pt>
                <c:pt idx="2075">
                  <c:v>44174</c:v>
                </c:pt>
                <c:pt idx="2076">
                  <c:v>44175</c:v>
                </c:pt>
                <c:pt idx="2077">
                  <c:v>44176</c:v>
                </c:pt>
                <c:pt idx="2078">
                  <c:v>44177</c:v>
                </c:pt>
                <c:pt idx="2079">
                  <c:v>44178</c:v>
                </c:pt>
                <c:pt idx="2080">
                  <c:v>44179</c:v>
                </c:pt>
                <c:pt idx="2081">
                  <c:v>44180</c:v>
                </c:pt>
                <c:pt idx="2082">
                  <c:v>44181</c:v>
                </c:pt>
                <c:pt idx="2083">
                  <c:v>44182</c:v>
                </c:pt>
                <c:pt idx="2084">
                  <c:v>44183</c:v>
                </c:pt>
                <c:pt idx="2085">
                  <c:v>44184</c:v>
                </c:pt>
                <c:pt idx="2086">
                  <c:v>44185</c:v>
                </c:pt>
                <c:pt idx="2087">
                  <c:v>44186</c:v>
                </c:pt>
                <c:pt idx="2088">
                  <c:v>44187</c:v>
                </c:pt>
                <c:pt idx="2089">
                  <c:v>44188</c:v>
                </c:pt>
                <c:pt idx="2090">
                  <c:v>44189</c:v>
                </c:pt>
                <c:pt idx="2091">
                  <c:v>44190</c:v>
                </c:pt>
                <c:pt idx="2092">
                  <c:v>44191</c:v>
                </c:pt>
                <c:pt idx="2093">
                  <c:v>44192</c:v>
                </c:pt>
                <c:pt idx="2094">
                  <c:v>44193</c:v>
                </c:pt>
                <c:pt idx="2095">
                  <c:v>44194</c:v>
                </c:pt>
                <c:pt idx="2096">
                  <c:v>44195</c:v>
                </c:pt>
                <c:pt idx="2097">
                  <c:v>44196</c:v>
                </c:pt>
                <c:pt idx="2098">
                  <c:v>44197</c:v>
                </c:pt>
                <c:pt idx="2099">
                  <c:v>44198</c:v>
                </c:pt>
                <c:pt idx="2100">
                  <c:v>44199</c:v>
                </c:pt>
                <c:pt idx="2101">
                  <c:v>44200</c:v>
                </c:pt>
                <c:pt idx="2102">
                  <c:v>44201</c:v>
                </c:pt>
                <c:pt idx="2103">
                  <c:v>44202</c:v>
                </c:pt>
                <c:pt idx="2104">
                  <c:v>44203</c:v>
                </c:pt>
                <c:pt idx="2105">
                  <c:v>44204</c:v>
                </c:pt>
                <c:pt idx="2106">
                  <c:v>44205</c:v>
                </c:pt>
                <c:pt idx="2107">
                  <c:v>44206</c:v>
                </c:pt>
                <c:pt idx="2108">
                  <c:v>44207</c:v>
                </c:pt>
                <c:pt idx="2109">
                  <c:v>44208</c:v>
                </c:pt>
                <c:pt idx="2110">
                  <c:v>44209</c:v>
                </c:pt>
                <c:pt idx="2111">
                  <c:v>44210</c:v>
                </c:pt>
                <c:pt idx="2112">
                  <c:v>44211</c:v>
                </c:pt>
                <c:pt idx="2113">
                  <c:v>44212</c:v>
                </c:pt>
                <c:pt idx="2114">
                  <c:v>44213</c:v>
                </c:pt>
                <c:pt idx="2115">
                  <c:v>44214</c:v>
                </c:pt>
                <c:pt idx="2116">
                  <c:v>44215</c:v>
                </c:pt>
                <c:pt idx="2117">
                  <c:v>44216</c:v>
                </c:pt>
                <c:pt idx="2118">
                  <c:v>44217</c:v>
                </c:pt>
                <c:pt idx="2119">
                  <c:v>44218</c:v>
                </c:pt>
                <c:pt idx="2120">
                  <c:v>44219</c:v>
                </c:pt>
                <c:pt idx="2121">
                  <c:v>44220</c:v>
                </c:pt>
                <c:pt idx="2122">
                  <c:v>44221</c:v>
                </c:pt>
                <c:pt idx="2123">
                  <c:v>44222</c:v>
                </c:pt>
                <c:pt idx="2124">
                  <c:v>44223</c:v>
                </c:pt>
                <c:pt idx="2125">
                  <c:v>44224</c:v>
                </c:pt>
                <c:pt idx="2126">
                  <c:v>44225</c:v>
                </c:pt>
                <c:pt idx="2127">
                  <c:v>44226</c:v>
                </c:pt>
                <c:pt idx="2128">
                  <c:v>44227</c:v>
                </c:pt>
                <c:pt idx="2129">
                  <c:v>44228</c:v>
                </c:pt>
                <c:pt idx="2130">
                  <c:v>44229</c:v>
                </c:pt>
                <c:pt idx="2131">
                  <c:v>44230</c:v>
                </c:pt>
                <c:pt idx="2132">
                  <c:v>44231</c:v>
                </c:pt>
                <c:pt idx="2133">
                  <c:v>44232</c:v>
                </c:pt>
                <c:pt idx="2134">
                  <c:v>44233</c:v>
                </c:pt>
                <c:pt idx="2135">
                  <c:v>44234</c:v>
                </c:pt>
                <c:pt idx="2136">
                  <c:v>44235</c:v>
                </c:pt>
                <c:pt idx="2137">
                  <c:v>44236</c:v>
                </c:pt>
                <c:pt idx="2138">
                  <c:v>44237</c:v>
                </c:pt>
                <c:pt idx="2139">
                  <c:v>44238</c:v>
                </c:pt>
                <c:pt idx="2140">
                  <c:v>44239</c:v>
                </c:pt>
                <c:pt idx="2141">
                  <c:v>44240</c:v>
                </c:pt>
                <c:pt idx="2142">
                  <c:v>44241</c:v>
                </c:pt>
                <c:pt idx="2143">
                  <c:v>44242</c:v>
                </c:pt>
                <c:pt idx="2144">
                  <c:v>44243</c:v>
                </c:pt>
                <c:pt idx="2145">
                  <c:v>44244</c:v>
                </c:pt>
                <c:pt idx="2146">
                  <c:v>44245</c:v>
                </c:pt>
                <c:pt idx="2147">
                  <c:v>44246</c:v>
                </c:pt>
                <c:pt idx="2148">
                  <c:v>44247</c:v>
                </c:pt>
                <c:pt idx="2149">
                  <c:v>44248</c:v>
                </c:pt>
                <c:pt idx="2150">
                  <c:v>44249</c:v>
                </c:pt>
                <c:pt idx="2151">
                  <c:v>44250</c:v>
                </c:pt>
                <c:pt idx="2152">
                  <c:v>44251</c:v>
                </c:pt>
                <c:pt idx="2153">
                  <c:v>44252</c:v>
                </c:pt>
                <c:pt idx="2154">
                  <c:v>44253</c:v>
                </c:pt>
                <c:pt idx="2155">
                  <c:v>44254</c:v>
                </c:pt>
                <c:pt idx="2156">
                  <c:v>44255</c:v>
                </c:pt>
                <c:pt idx="2157">
                  <c:v>44256</c:v>
                </c:pt>
                <c:pt idx="2158">
                  <c:v>44257</c:v>
                </c:pt>
                <c:pt idx="2159">
                  <c:v>44258</c:v>
                </c:pt>
                <c:pt idx="2160">
                  <c:v>44259</c:v>
                </c:pt>
                <c:pt idx="2161">
                  <c:v>44260</c:v>
                </c:pt>
                <c:pt idx="2162">
                  <c:v>44261</c:v>
                </c:pt>
                <c:pt idx="2163">
                  <c:v>44262</c:v>
                </c:pt>
                <c:pt idx="2164">
                  <c:v>44263</c:v>
                </c:pt>
                <c:pt idx="2165">
                  <c:v>44264</c:v>
                </c:pt>
                <c:pt idx="2166">
                  <c:v>44265</c:v>
                </c:pt>
                <c:pt idx="2167">
                  <c:v>44266</c:v>
                </c:pt>
                <c:pt idx="2168">
                  <c:v>44267</c:v>
                </c:pt>
                <c:pt idx="2169">
                  <c:v>44268</c:v>
                </c:pt>
                <c:pt idx="2170">
                  <c:v>44269</c:v>
                </c:pt>
                <c:pt idx="2171">
                  <c:v>44270</c:v>
                </c:pt>
                <c:pt idx="2172">
                  <c:v>44271</c:v>
                </c:pt>
                <c:pt idx="2173">
                  <c:v>44272</c:v>
                </c:pt>
                <c:pt idx="2174">
                  <c:v>44273</c:v>
                </c:pt>
                <c:pt idx="2175">
                  <c:v>44274</c:v>
                </c:pt>
                <c:pt idx="2176">
                  <c:v>44275</c:v>
                </c:pt>
                <c:pt idx="2177">
                  <c:v>44276</c:v>
                </c:pt>
                <c:pt idx="2178">
                  <c:v>44277</c:v>
                </c:pt>
                <c:pt idx="2179">
                  <c:v>44278</c:v>
                </c:pt>
                <c:pt idx="2180">
                  <c:v>44279</c:v>
                </c:pt>
                <c:pt idx="2181">
                  <c:v>44280</c:v>
                </c:pt>
                <c:pt idx="2182">
                  <c:v>44281</c:v>
                </c:pt>
                <c:pt idx="2183">
                  <c:v>44282</c:v>
                </c:pt>
                <c:pt idx="2184">
                  <c:v>44283</c:v>
                </c:pt>
                <c:pt idx="2185">
                  <c:v>44284</c:v>
                </c:pt>
                <c:pt idx="2186">
                  <c:v>44285</c:v>
                </c:pt>
                <c:pt idx="2187">
                  <c:v>44286</c:v>
                </c:pt>
                <c:pt idx="2188">
                  <c:v>44287</c:v>
                </c:pt>
                <c:pt idx="2189">
                  <c:v>44288</c:v>
                </c:pt>
                <c:pt idx="2190">
                  <c:v>44289</c:v>
                </c:pt>
                <c:pt idx="2191">
                  <c:v>44290</c:v>
                </c:pt>
                <c:pt idx="2192">
                  <c:v>44291</c:v>
                </c:pt>
                <c:pt idx="2193">
                  <c:v>44292</c:v>
                </c:pt>
                <c:pt idx="2194">
                  <c:v>44293</c:v>
                </c:pt>
                <c:pt idx="2195">
                  <c:v>44294</c:v>
                </c:pt>
                <c:pt idx="2196">
                  <c:v>44295</c:v>
                </c:pt>
                <c:pt idx="2197">
                  <c:v>44296</c:v>
                </c:pt>
                <c:pt idx="2198">
                  <c:v>44297</c:v>
                </c:pt>
                <c:pt idx="2199">
                  <c:v>44298</c:v>
                </c:pt>
                <c:pt idx="2200">
                  <c:v>44299</c:v>
                </c:pt>
                <c:pt idx="2201">
                  <c:v>44300</c:v>
                </c:pt>
                <c:pt idx="2202">
                  <c:v>44301</c:v>
                </c:pt>
                <c:pt idx="2203">
                  <c:v>44302</c:v>
                </c:pt>
                <c:pt idx="2204">
                  <c:v>44303</c:v>
                </c:pt>
                <c:pt idx="2205">
                  <c:v>44304</c:v>
                </c:pt>
                <c:pt idx="2206">
                  <c:v>44305</c:v>
                </c:pt>
                <c:pt idx="2207">
                  <c:v>44306</c:v>
                </c:pt>
                <c:pt idx="2208">
                  <c:v>44307</c:v>
                </c:pt>
                <c:pt idx="2209">
                  <c:v>44308</c:v>
                </c:pt>
                <c:pt idx="2210">
                  <c:v>44309</c:v>
                </c:pt>
                <c:pt idx="2211">
                  <c:v>44310</c:v>
                </c:pt>
                <c:pt idx="2212">
                  <c:v>44311</c:v>
                </c:pt>
                <c:pt idx="2213">
                  <c:v>44312</c:v>
                </c:pt>
                <c:pt idx="2214">
                  <c:v>44313</c:v>
                </c:pt>
                <c:pt idx="2215">
                  <c:v>44314</c:v>
                </c:pt>
                <c:pt idx="2216">
                  <c:v>44315</c:v>
                </c:pt>
                <c:pt idx="2217">
                  <c:v>44316</c:v>
                </c:pt>
                <c:pt idx="2218">
                  <c:v>44317</c:v>
                </c:pt>
                <c:pt idx="2219">
                  <c:v>44318</c:v>
                </c:pt>
                <c:pt idx="2220">
                  <c:v>44319</c:v>
                </c:pt>
                <c:pt idx="2221">
                  <c:v>44320</c:v>
                </c:pt>
                <c:pt idx="2222">
                  <c:v>44321</c:v>
                </c:pt>
                <c:pt idx="2223">
                  <c:v>44322</c:v>
                </c:pt>
                <c:pt idx="2224">
                  <c:v>44323</c:v>
                </c:pt>
                <c:pt idx="2225">
                  <c:v>44324</c:v>
                </c:pt>
                <c:pt idx="2226">
                  <c:v>44325</c:v>
                </c:pt>
                <c:pt idx="2227">
                  <c:v>44326</c:v>
                </c:pt>
                <c:pt idx="2228">
                  <c:v>44327</c:v>
                </c:pt>
                <c:pt idx="2229">
                  <c:v>44328</c:v>
                </c:pt>
                <c:pt idx="2230">
                  <c:v>44329</c:v>
                </c:pt>
                <c:pt idx="2231">
                  <c:v>44330</c:v>
                </c:pt>
                <c:pt idx="2232">
                  <c:v>44331</c:v>
                </c:pt>
                <c:pt idx="2233">
                  <c:v>44332</c:v>
                </c:pt>
                <c:pt idx="2234">
                  <c:v>44333</c:v>
                </c:pt>
                <c:pt idx="2235">
                  <c:v>44334</c:v>
                </c:pt>
                <c:pt idx="2236">
                  <c:v>44335</c:v>
                </c:pt>
                <c:pt idx="2237">
                  <c:v>44336</c:v>
                </c:pt>
                <c:pt idx="2238">
                  <c:v>44337</c:v>
                </c:pt>
                <c:pt idx="2239">
                  <c:v>44338</c:v>
                </c:pt>
                <c:pt idx="2240">
                  <c:v>44339</c:v>
                </c:pt>
                <c:pt idx="2241">
                  <c:v>44340</c:v>
                </c:pt>
                <c:pt idx="2242">
                  <c:v>44341</c:v>
                </c:pt>
                <c:pt idx="2243">
                  <c:v>44342</c:v>
                </c:pt>
                <c:pt idx="2244">
                  <c:v>44343</c:v>
                </c:pt>
                <c:pt idx="2245">
                  <c:v>44344</c:v>
                </c:pt>
                <c:pt idx="2246">
                  <c:v>44345</c:v>
                </c:pt>
                <c:pt idx="2247">
                  <c:v>44346</c:v>
                </c:pt>
                <c:pt idx="2248">
                  <c:v>44347</c:v>
                </c:pt>
                <c:pt idx="2249">
                  <c:v>44348</c:v>
                </c:pt>
                <c:pt idx="2250">
                  <c:v>44349</c:v>
                </c:pt>
                <c:pt idx="2251">
                  <c:v>44350</c:v>
                </c:pt>
                <c:pt idx="2252">
                  <c:v>44351</c:v>
                </c:pt>
                <c:pt idx="2253">
                  <c:v>44352</c:v>
                </c:pt>
                <c:pt idx="2254">
                  <c:v>44353</c:v>
                </c:pt>
                <c:pt idx="2255">
                  <c:v>44354</c:v>
                </c:pt>
                <c:pt idx="2256">
                  <c:v>44355</c:v>
                </c:pt>
                <c:pt idx="2257">
                  <c:v>44356</c:v>
                </c:pt>
                <c:pt idx="2258">
                  <c:v>44357</c:v>
                </c:pt>
                <c:pt idx="2259">
                  <c:v>44358</c:v>
                </c:pt>
                <c:pt idx="2260">
                  <c:v>44359</c:v>
                </c:pt>
                <c:pt idx="2261">
                  <c:v>44360</c:v>
                </c:pt>
                <c:pt idx="2262">
                  <c:v>44361</c:v>
                </c:pt>
                <c:pt idx="2263">
                  <c:v>44362</c:v>
                </c:pt>
                <c:pt idx="2264">
                  <c:v>44363</c:v>
                </c:pt>
                <c:pt idx="2265">
                  <c:v>44364</c:v>
                </c:pt>
                <c:pt idx="2266">
                  <c:v>44365</c:v>
                </c:pt>
                <c:pt idx="2267">
                  <c:v>44366</c:v>
                </c:pt>
                <c:pt idx="2268">
                  <c:v>44367</c:v>
                </c:pt>
                <c:pt idx="2269">
                  <c:v>44368</c:v>
                </c:pt>
                <c:pt idx="2270">
                  <c:v>44369</c:v>
                </c:pt>
                <c:pt idx="2271">
                  <c:v>44370</c:v>
                </c:pt>
                <c:pt idx="2272">
                  <c:v>44371</c:v>
                </c:pt>
                <c:pt idx="2273">
                  <c:v>44372</c:v>
                </c:pt>
                <c:pt idx="2274">
                  <c:v>44373</c:v>
                </c:pt>
                <c:pt idx="2275">
                  <c:v>44374</c:v>
                </c:pt>
                <c:pt idx="2276">
                  <c:v>44375</c:v>
                </c:pt>
                <c:pt idx="2277">
                  <c:v>44376</c:v>
                </c:pt>
                <c:pt idx="2278">
                  <c:v>44377</c:v>
                </c:pt>
                <c:pt idx="2279">
                  <c:v>44378</c:v>
                </c:pt>
                <c:pt idx="2280">
                  <c:v>44379</c:v>
                </c:pt>
                <c:pt idx="2281">
                  <c:v>44380</c:v>
                </c:pt>
                <c:pt idx="2282">
                  <c:v>44381</c:v>
                </c:pt>
                <c:pt idx="2283">
                  <c:v>44382</c:v>
                </c:pt>
                <c:pt idx="2284">
                  <c:v>44383</c:v>
                </c:pt>
                <c:pt idx="2285">
                  <c:v>44384</c:v>
                </c:pt>
                <c:pt idx="2286">
                  <c:v>44385</c:v>
                </c:pt>
                <c:pt idx="2287">
                  <c:v>44386</c:v>
                </c:pt>
                <c:pt idx="2288">
                  <c:v>44387</c:v>
                </c:pt>
                <c:pt idx="2289">
                  <c:v>44388</c:v>
                </c:pt>
                <c:pt idx="2290">
                  <c:v>44389</c:v>
                </c:pt>
                <c:pt idx="2291">
                  <c:v>44390</c:v>
                </c:pt>
                <c:pt idx="2292">
                  <c:v>44391</c:v>
                </c:pt>
                <c:pt idx="2293">
                  <c:v>44392</c:v>
                </c:pt>
                <c:pt idx="2294">
                  <c:v>44393</c:v>
                </c:pt>
                <c:pt idx="2295">
                  <c:v>44394</c:v>
                </c:pt>
                <c:pt idx="2296">
                  <c:v>44395</c:v>
                </c:pt>
                <c:pt idx="2297">
                  <c:v>44396</c:v>
                </c:pt>
                <c:pt idx="2298">
                  <c:v>44397</c:v>
                </c:pt>
                <c:pt idx="2299">
                  <c:v>44398</c:v>
                </c:pt>
                <c:pt idx="2300">
                  <c:v>44399</c:v>
                </c:pt>
                <c:pt idx="2301">
                  <c:v>44400</c:v>
                </c:pt>
                <c:pt idx="2302">
                  <c:v>44401</c:v>
                </c:pt>
                <c:pt idx="2303">
                  <c:v>44402</c:v>
                </c:pt>
                <c:pt idx="2304">
                  <c:v>44403</c:v>
                </c:pt>
                <c:pt idx="2305">
                  <c:v>44404</c:v>
                </c:pt>
                <c:pt idx="2306">
                  <c:v>44405</c:v>
                </c:pt>
                <c:pt idx="2307">
                  <c:v>44406</c:v>
                </c:pt>
                <c:pt idx="2308">
                  <c:v>44407</c:v>
                </c:pt>
                <c:pt idx="2309">
                  <c:v>44408</c:v>
                </c:pt>
                <c:pt idx="2310">
                  <c:v>44409</c:v>
                </c:pt>
                <c:pt idx="2311">
                  <c:v>44410</c:v>
                </c:pt>
                <c:pt idx="2312">
                  <c:v>44411</c:v>
                </c:pt>
                <c:pt idx="2313">
                  <c:v>44412</c:v>
                </c:pt>
                <c:pt idx="2314">
                  <c:v>44413</c:v>
                </c:pt>
                <c:pt idx="2315">
                  <c:v>44414</c:v>
                </c:pt>
                <c:pt idx="2316">
                  <c:v>44415</c:v>
                </c:pt>
                <c:pt idx="2317">
                  <c:v>44416</c:v>
                </c:pt>
                <c:pt idx="2318">
                  <c:v>44417</c:v>
                </c:pt>
                <c:pt idx="2319">
                  <c:v>44418</c:v>
                </c:pt>
                <c:pt idx="2320">
                  <c:v>44419</c:v>
                </c:pt>
                <c:pt idx="2321">
                  <c:v>44420</c:v>
                </c:pt>
                <c:pt idx="2322">
                  <c:v>44421</c:v>
                </c:pt>
                <c:pt idx="2323">
                  <c:v>44422</c:v>
                </c:pt>
                <c:pt idx="2324">
                  <c:v>44423</c:v>
                </c:pt>
                <c:pt idx="2325">
                  <c:v>44424</c:v>
                </c:pt>
                <c:pt idx="2326">
                  <c:v>44425</c:v>
                </c:pt>
                <c:pt idx="2327">
                  <c:v>44426</c:v>
                </c:pt>
                <c:pt idx="2328">
                  <c:v>44427</c:v>
                </c:pt>
                <c:pt idx="2329">
                  <c:v>44428</c:v>
                </c:pt>
                <c:pt idx="2330">
                  <c:v>44429</c:v>
                </c:pt>
                <c:pt idx="2331">
                  <c:v>44430</c:v>
                </c:pt>
                <c:pt idx="2332">
                  <c:v>44431</c:v>
                </c:pt>
                <c:pt idx="2333">
                  <c:v>44432</c:v>
                </c:pt>
                <c:pt idx="2334">
                  <c:v>44433</c:v>
                </c:pt>
                <c:pt idx="2335">
                  <c:v>44434</c:v>
                </c:pt>
                <c:pt idx="2336">
                  <c:v>44435</c:v>
                </c:pt>
                <c:pt idx="2337">
                  <c:v>44436</c:v>
                </c:pt>
                <c:pt idx="2338">
                  <c:v>44437</c:v>
                </c:pt>
                <c:pt idx="2339">
                  <c:v>44438</c:v>
                </c:pt>
                <c:pt idx="2340">
                  <c:v>44439</c:v>
                </c:pt>
                <c:pt idx="2341">
                  <c:v>44440</c:v>
                </c:pt>
                <c:pt idx="2342">
                  <c:v>44441</c:v>
                </c:pt>
                <c:pt idx="2343">
                  <c:v>44442</c:v>
                </c:pt>
                <c:pt idx="2344">
                  <c:v>44443</c:v>
                </c:pt>
                <c:pt idx="2345">
                  <c:v>44444</c:v>
                </c:pt>
                <c:pt idx="2346">
                  <c:v>44445</c:v>
                </c:pt>
                <c:pt idx="2347">
                  <c:v>44446</c:v>
                </c:pt>
                <c:pt idx="2348">
                  <c:v>44447</c:v>
                </c:pt>
                <c:pt idx="2349">
                  <c:v>44448</c:v>
                </c:pt>
                <c:pt idx="2350">
                  <c:v>44449</c:v>
                </c:pt>
                <c:pt idx="2351">
                  <c:v>44450</c:v>
                </c:pt>
                <c:pt idx="2352">
                  <c:v>44451</c:v>
                </c:pt>
                <c:pt idx="2353">
                  <c:v>44452</c:v>
                </c:pt>
                <c:pt idx="2354">
                  <c:v>44453</c:v>
                </c:pt>
                <c:pt idx="2355">
                  <c:v>44454</c:v>
                </c:pt>
                <c:pt idx="2356">
                  <c:v>44455</c:v>
                </c:pt>
                <c:pt idx="2357">
                  <c:v>44456</c:v>
                </c:pt>
                <c:pt idx="2358">
                  <c:v>44457</c:v>
                </c:pt>
                <c:pt idx="2359">
                  <c:v>44458</c:v>
                </c:pt>
                <c:pt idx="2360">
                  <c:v>44459</c:v>
                </c:pt>
                <c:pt idx="2361">
                  <c:v>44460</c:v>
                </c:pt>
                <c:pt idx="2362">
                  <c:v>44461</c:v>
                </c:pt>
                <c:pt idx="2363">
                  <c:v>44462</c:v>
                </c:pt>
                <c:pt idx="2364">
                  <c:v>44463</c:v>
                </c:pt>
                <c:pt idx="2365">
                  <c:v>44464</c:v>
                </c:pt>
                <c:pt idx="2366">
                  <c:v>44465</c:v>
                </c:pt>
                <c:pt idx="2367">
                  <c:v>44466</c:v>
                </c:pt>
                <c:pt idx="2368">
                  <c:v>44467</c:v>
                </c:pt>
                <c:pt idx="2369">
                  <c:v>44468</c:v>
                </c:pt>
                <c:pt idx="2370">
                  <c:v>44469</c:v>
                </c:pt>
                <c:pt idx="2371">
                  <c:v>44470</c:v>
                </c:pt>
                <c:pt idx="2372">
                  <c:v>44471</c:v>
                </c:pt>
                <c:pt idx="2373">
                  <c:v>44472</c:v>
                </c:pt>
                <c:pt idx="2374">
                  <c:v>44473</c:v>
                </c:pt>
                <c:pt idx="2375">
                  <c:v>44474</c:v>
                </c:pt>
                <c:pt idx="2376">
                  <c:v>44475</c:v>
                </c:pt>
                <c:pt idx="2377">
                  <c:v>44476</c:v>
                </c:pt>
                <c:pt idx="2378">
                  <c:v>44477</c:v>
                </c:pt>
                <c:pt idx="2379">
                  <c:v>44478</c:v>
                </c:pt>
                <c:pt idx="2380">
                  <c:v>44479</c:v>
                </c:pt>
                <c:pt idx="2381">
                  <c:v>44480</c:v>
                </c:pt>
                <c:pt idx="2382">
                  <c:v>44481</c:v>
                </c:pt>
                <c:pt idx="2383">
                  <c:v>44482</c:v>
                </c:pt>
                <c:pt idx="2384">
                  <c:v>44483</c:v>
                </c:pt>
                <c:pt idx="2385">
                  <c:v>44484</c:v>
                </c:pt>
                <c:pt idx="2386">
                  <c:v>44485</c:v>
                </c:pt>
                <c:pt idx="2387">
                  <c:v>44486</c:v>
                </c:pt>
                <c:pt idx="2388">
                  <c:v>44487</c:v>
                </c:pt>
                <c:pt idx="2389">
                  <c:v>44488</c:v>
                </c:pt>
                <c:pt idx="2390">
                  <c:v>44489</c:v>
                </c:pt>
                <c:pt idx="2391">
                  <c:v>44490</c:v>
                </c:pt>
                <c:pt idx="2392">
                  <c:v>44491</c:v>
                </c:pt>
                <c:pt idx="2393">
                  <c:v>44492</c:v>
                </c:pt>
                <c:pt idx="2394">
                  <c:v>44493</c:v>
                </c:pt>
                <c:pt idx="2395">
                  <c:v>44494</c:v>
                </c:pt>
                <c:pt idx="2396">
                  <c:v>44495</c:v>
                </c:pt>
                <c:pt idx="2397">
                  <c:v>44496</c:v>
                </c:pt>
                <c:pt idx="2398">
                  <c:v>44497</c:v>
                </c:pt>
                <c:pt idx="2399">
                  <c:v>44498</c:v>
                </c:pt>
                <c:pt idx="2400">
                  <c:v>44499</c:v>
                </c:pt>
                <c:pt idx="2401">
                  <c:v>44500</c:v>
                </c:pt>
                <c:pt idx="2402">
                  <c:v>44501</c:v>
                </c:pt>
                <c:pt idx="2403">
                  <c:v>44502</c:v>
                </c:pt>
                <c:pt idx="2404">
                  <c:v>44503</c:v>
                </c:pt>
                <c:pt idx="2405">
                  <c:v>44504</c:v>
                </c:pt>
                <c:pt idx="2406">
                  <c:v>44505</c:v>
                </c:pt>
                <c:pt idx="2407">
                  <c:v>44506</c:v>
                </c:pt>
                <c:pt idx="2408">
                  <c:v>44507</c:v>
                </c:pt>
                <c:pt idx="2409">
                  <c:v>44508</c:v>
                </c:pt>
                <c:pt idx="2410">
                  <c:v>44509</c:v>
                </c:pt>
                <c:pt idx="2411">
                  <c:v>44510</c:v>
                </c:pt>
                <c:pt idx="2412">
                  <c:v>44511</c:v>
                </c:pt>
                <c:pt idx="2413">
                  <c:v>44512</c:v>
                </c:pt>
                <c:pt idx="2414">
                  <c:v>44513</c:v>
                </c:pt>
                <c:pt idx="2415">
                  <c:v>44514</c:v>
                </c:pt>
                <c:pt idx="2416">
                  <c:v>44515</c:v>
                </c:pt>
                <c:pt idx="2417">
                  <c:v>44516</c:v>
                </c:pt>
                <c:pt idx="2418">
                  <c:v>44517</c:v>
                </c:pt>
                <c:pt idx="2419">
                  <c:v>44518</c:v>
                </c:pt>
                <c:pt idx="2420">
                  <c:v>44519</c:v>
                </c:pt>
                <c:pt idx="2421">
                  <c:v>44520</c:v>
                </c:pt>
                <c:pt idx="2422">
                  <c:v>44521</c:v>
                </c:pt>
                <c:pt idx="2423">
                  <c:v>44522</c:v>
                </c:pt>
                <c:pt idx="2424">
                  <c:v>44523</c:v>
                </c:pt>
                <c:pt idx="2425">
                  <c:v>44524</c:v>
                </c:pt>
                <c:pt idx="2426">
                  <c:v>44525</c:v>
                </c:pt>
                <c:pt idx="2427">
                  <c:v>44526</c:v>
                </c:pt>
                <c:pt idx="2428">
                  <c:v>44527</c:v>
                </c:pt>
                <c:pt idx="2429">
                  <c:v>44528</c:v>
                </c:pt>
                <c:pt idx="2430">
                  <c:v>44529</c:v>
                </c:pt>
                <c:pt idx="2431">
                  <c:v>44530</c:v>
                </c:pt>
                <c:pt idx="2432">
                  <c:v>44531</c:v>
                </c:pt>
                <c:pt idx="2433">
                  <c:v>44532</c:v>
                </c:pt>
                <c:pt idx="2434">
                  <c:v>44533</c:v>
                </c:pt>
                <c:pt idx="2435">
                  <c:v>44534</c:v>
                </c:pt>
                <c:pt idx="2436">
                  <c:v>44535</c:v>
                </c:pt>
                <c:pt idx="2437">
                  <c:v>44536</c:v>
                </c:pt>
                <c:pt idx="2438">
                  <c:v>44537</c:v>
                </c:pt>
                <c:pt idx="2439">
                  <c:v>44538</c:v>
                </c:pt>
                <c:pt idx="2440">
                  <c:v>44539</c:v>
                </c:pt>
                <c:pt idx="2441">
                  <c:v>44540</c:v>
                </c:pt>
                <c:pt idx="2442">
                  <c:v>44541</c:v>
                </c:pt>
                <c:pt idx="2443">
                  <c:v>44542</c:v>
                </c:pt>
                <c:pt idx="2444">
                  <c:v>44543</c:v>
                </c:pt>
                <c:pt idx="2445">
                  <c:v>44544</c:v>
                </c:pt>
                <c:pt idx="2446">
                  <c:v>44545</c:v>
                </c:pt>
                <c:pt idx="2447">
                  <c:v>44546</c:v>
                </c:pt>
                <c:pt idx="2448">
                  <c:v>44547</c:v>
                </c:pt>
                <c:pt idx="2449">
                  <c:v>44548</c:v>
                </c:pt>
                <c:pt idx="2450">
                  <c:v>44549</c:v>
                </c:pt>
                <c:pt idx="2451">
                  <c:v>44550</c:v>
                </c:pt>
                <c:pt idx="2452">
                  <c:v>44551</c:v>
                </c:pt>
                <c:pt idx="2453">
                  <c:v>44552</c:v>
                </c:pt>
                <c:pt idx="2454">
                  <c:v>44553</c:v>
                </c:pt>
                <c:pt idx="2455">
                  <c:v>44554</c:v>
                </c:pt>
                <c:pt idx="2456">
                  <c:v>44555</c:v>
                </c:pt>
                <c:pt idx="2457">
                  <c:v>44556</c:v>
                </c:pt>
                <c:pt idx="2458">
                  <c:v>44557</c:v>
                </c:pt>
                <c:pt idx="2459">
                  <c:v>44558</c:v>
                </c:pt>
                <c:pt idx="2460">
                  <c:v>44559</c:v>
                </c:pt>
                <c:pt idx="2461">
                  <c:v>44560</c:v>
                </c:pt>
                <c:pt idx="2462">
                  <c:v>44561</c:v>
                </c:pt>
                <c:pt idx="2463">
                  <c:v>44562</c:v>
                </c:pt>
                <c:pt idx="2464">
                  <c:v>44563</c:v>
                </c:pt>
                <c:pt idx="2465">
                  <c:v>44564</c:v>
                </c:pt>
                <c:pt idx="2466">
                  <c:v>44565</c:v>
                </c:pt>
                <c:pt idx="2467">
                  <c:v>44566</c:v>
                </c:pt>
                <c:pt idx="2468">
                  <c:v>44567</c:v>
                </c:pt>
                <c:pt idx="2469">
                  <c:v>44568</c:v>
                </c:pt>
                <c:pt idx="2470">
                  <c:v>44569</c:v>
                </c:pt>
                <c:pt idx="2471">
                  <c:v>44570</c:v>
                </c:pt>
                <c:pt idx="2472">
                  <c:v>44571</c:v>
                </c:pt>
                <c:pt idx="2473">
                  <c:v>44572</c:v>
                </c:pt>
                <c:pt idx="2474">
                  <c:v>44573</c:v>
                </c:pt>
                <c:pt idx="2475">
                  <c:v>44574</c:v>
                </c:pt>
                <c:pt idx="2476">
                  <c:v>44575</c:v>
                </c:pt>
                <c:pt idx="2477">
                  <c:v>44576</c:v>
                </c:pt>
                <c:pt idx="2478">
                  <c:v>44577</c:v>
                </c:pt>
                <c:pt idx="2479">
                  <c:v>44578</c:v>
                </c:pt>
                <c:pt idx="2480">
                  <c:v>44579</c:v>
                </c:pt>
                <c:pt idx="2481">
                  <c:v>44580</c:v>
                </c:pt>
                <c:pt idx="2482">
                  <c:v>44581</c:v>
                </c:pt>
                <c:pt idx="2483">
                  <c:v>44582</c:v>
                </c:pt>
                <c:pt idx="2484">
                  <c:v>44583</c:v>
                </c:pt>
                <c:pt idx="2485">
                  <c:v>44584</c:v>
                </c:pt>
                <c:pt idx="2486">
                  <c:v>44585</c:v>
                </c:pt>
                <c:pt idx="2487">
                  <c:v>44586</c:v>
                </c:pt>
                <c:pt idx="2488">
                  <c:v>44587</c:v>
                </c:pt>
                <c:pt idx="2489">
                  <c:v>44588</c:v>
                </c:pt>
                <c:pt idx="2490">
                  <c:v>44589</c:v>
                </c:pt>
                <c:pt idx="2491">
                  <c:v>44590</c:v>
                </c:pt>
                <c:pt idx="2492">
                  <c:v>44591</c:v>
                </c:pt>
                <c:pt idx="2493">
                  <c:v>44592</c:v>
                </c:pt>
                <c:pt idx="2494">
                  <c:v>44593</c:v>
                </c:pt>
                <c:pt idx="2495">
                  <c:v>44594</c:v>
                </c:pt>
                <c:pt idx="2496">
                  <c:v>44595</c:v>
                </c:pt>
                <c:pt idx="2497">
                  <c:v>44596</c:v>
                </c:pt>
                <c:pt idx="2498">
                  <c:v>44597</c:v>
                </c:pt>
                <c:pt idx="2499">
                  <c:v>44598</c:v>
                </c:pt>
                <c:pt idx="2500">
                  <c:v>44599</c:v>
                </c:pt>
                <c:pt idx="2501">
                  <c:v>44600</c:v>
                </c:pt>
                <c:pt idx="2502">
                  <c:v>44601</c:v>
                </c:pt>
                <c:pt idx="2503">
                  <c:v>44602</c:v>
                </c:pt>
                <c:pt idx="2504">
                  <c:v>44603</c:v>
                </c:pt>
                <c:pt idx="2505">
                  <c:v>44604</c:v>
                </c:pt>
                <c:pt idx="2506">
                  <c:v>44605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44611</c:v>
                </c:pt>
                <c:pt idx="2513">
                  <c:v>44612</c:v>
                </c:pt>
                <c:pt idx="2514">
                  <c:v>44613</c:v>
                </c:pt>
                <c:pt idx="2515">
                  <c:v>44614</c:v>
                </c:pt>
                <c:pt idx="2516">
                  <c:v>44615</c:v>
                </c:pt>
                <c:pt idx="2517">
                  <c:v>44616</c:v>
                </c:pt>
                <c:pt idx="2518">
                  <c:v>44617</c:v>
                </c:pt>
                <c:pt idx="2519">
                  <c:v>44618</c:v>
                </c:pt>
                <c:pt idx="2520">
                  <c:v>44619</c:v>
                </c:pt>
                <c:pt idx="2521">
                  <c:v>44620</c:v>
                </c:pt>
                <c:pt idx="2522">
                  <c:v>44621</c:v>
                </c:pt>
                <c:pt idx="2523">
                  <c:v>44622</c:v>
                </c:pt>
                <c:pt idx="2524">
                  <c:v>44623</c:v>
                </c:pt>
                <c:pt idx="2525">
                  <c:v>44624</c:v>
                </c:pt>
                <c:pt idx="2526">
                  <c:v>44625</c:v>
                </c:pt>
                <c:pt idx="2527">
                  <c:v>44626</c:v>
                </c:pt>
                <c:pt idx="2528">
                  <c:v>44627</c:v>
                </c:pt>
                <c:pt idx="2529">
                  <c:v>44628</c:v>
                </c:pt>
                <c:pt idx="2530">
                  <c:v>44629</c:v>
                </c:pt>
                <c:pt idx="2531">
                  <c:v>44630</c:v>
                </c:pt>
                <c:pt idx="2532">
                  <c:v>44631</c:v>
                </c:pt>
                <c:pt idx="2533">
                  <c:v>44632</c:v>
                </c:pt>
                <c:pt idx="2534">
                  <c:v>44633</c:v>
                </c:pt>
                <c:pt idx="2535">
                  <c:v>44634</c:v>
                </c:pt>
                <c:pt idx="2536">
                  <c:v>44635</c:v>
                </c:pt>
                <c:pt idx="2537">
                  <c:v>44636</c:v>
                </c:pt>
                <c:pt idx="2538">
                  <c:v>44637</c:v>
                </c:pt>
                <c:pt idx="2539">
                  <c:v>44638</c:v>
                </c:pt>
                <c:pt idx="2540">
                  <c:v>44639</c:v>
                </c:pt>
                <c:pt idx="2541">
                  <c:v>44640</c:v>
                </c:pt>
                <c:pt idx="2542">
                  <c:v>44641</c:v>
                </c:pt>
                <c:pt idx="2543">
                  <c:v>44642</c:v>
                </c:pt>
                <c:pt idx="2544">
                  <c:v>44643</c:v>
                </c:pt>
                <c:pt idx="2545">
                  <c:v>44644</c:v>
                </c:pt>
                <c:pt idx="2546">
                  <c:v>44645</c:v>
                </c:pt>
                <c:pt idx="2547">
                  <c:v>44646</c:v>
                </c:pt>
                <c:pt idx="2548">
                  <c:v>44647</c:v>
                </c:pt>
                <c:pt idx="2549">
                  <c:v>44648</c:v>
                </c:pt>
                <c:pt idx="2550">
                  <c:v>44649</c:v>
                </c:pt>
                <c:pt idx="2551">
                  <c:v>44650</c:v>
                </c:pt>
                <c:pt idx="2552">
                  <c:v>44651</c:v>
                </c:pt>
                <c:pt idx="2553" formatCode="d/m/yy;@">
                  <c:v>44652</c:v>
                </c:pt>
                <c:pt idx="2554" formatCode="d/m/yy;@">
                  <c:v>44653</c:v>
                </c:pt>
                <c:pt idx="2555" formatCode="d/m/yy;@">
                  <c:v>44654</c:v>
                </c:pt>
                <c:pt idx="2556" formatCode="d/m/yy;@">
                  <c:v>44655</c:v>
                </c:pt>
                <c:pt idx="2557" formatCode="d/m/yy;@">
                  <c:v>44656</c:v>
                </c:pt>
                <c:pt idx="2558" formatCode="d/m/yy;@">
                  <c:v>44657</c:v>
                </c:pt>
                <c:pt idx="2559" formatCode="d/m/yy;@">
                  <c:v>44658</c:v>
                </c:pt>
                <c:pt idx="2560" formatCode="d/m/yy;@">
                  <c:v>44659</c:v>
                </c:pt>
                <c:pt idx="2561" formatCode="d/m/yy;@">
                  <c:v>44660</c:v>
                </c:pt>
                <c:pt idx="2562" formatCode="d/m/yy;@">
                  <c:v>44661</c:v>
                </c:pt>
                <c:pt idx="2563" formatCode="d/m/yy;@">
                  <c:v>44662</c:v>
                </c:pt>
                <c:pt idx="2564" formatCode="d/m/yy;@">
                  <c:v>44663</c:v>
                </c:pt>
                <c:pt idx="2565" formatCode="d/m/yy;@">
                  <c:v>44664</c:v>
                </c:pt>
                <c:pt idx="2566" formatCode="d/m/yy;@">
                  <c:v>44665</c:v>
                </c:pt>
                <c:pt idx="2567" formatCode="d/m/yy;@">
                  <c:v>44666</c:v>
                </c:pt>
                <c:pt idx="2568" formatCode="d/m/yy;@">
                  <c:v>44667</c:v>
                </c:pt>
                <c:pt idx="2569" formatCode="d/m/yy;@">
                  <c:v>44668</c:v>
                </c:pt>
                <c:pt idx="2570" formatCode="d/m/yy;@">
                  <c:v>44669</c:v>
                </c:pt>
                <c:pt idx="2571" formatCode="d/m/yy;@">
                  <c:v>44670</c:v>
                </c:pt>
                <c:pt idx="2572" formatCode="d/m/yy;@">
                  <c:v>44671</c:v>
                </c:pt>
                <c:pt idx="2573" formatCode="d/m/yy;@">
                  <c:v>44672</c:v>
                </c:pt>
                <c:pt idx="2574" formatCode="d/m/yy;@">
                  <c:v>44673</c:v>
                </c:pt>
                <c:pt idx="2575" formatCode="d/m/yy;@">
                  <c:v>44674</c:v>
                </c:pt>
                <c:pt idx="2576" formatCode="d/m/yy;@">
                  <c:v>44675</c:v>
                </c:pt>
                <c:pt idx="2577" formatCode="d/m/yy;@">
                  <c:v>44676</c:v>
                </c:pt>
                <c:pt idx="2578" formatCode="d/m/yy;@">
                  <c:v>44677</c:v>
                </c:pt>
                <c:pt idx="2579" formatCode="d/m/yy;@">
                  <c:v>44678</c:v>
                </c:pt>
                <c:pt idx="2580" formatCode="d/m/yy;@">
                  <c:v>44679</c:v>
                </c:pt>
                <c:pt idx="2581" formatCode="d/m/yy;@">
                  <c:v>44680</c:v>
                </c:pt>
                <c:pt idx="2582" formatCode="d/m/yy;@">
                  <c:v>44681</c:v>
                </c:pt>
                <c:pt idx="2583" formatCode="d/m/yy;@">
                  <c:v>44682</c:v>
                </c:pt>
                <c:pt idx="2584" formatCode="d/m/yy;@">
                  <c:v>44683</c:v>
                </c:pt>
                <c:pt idx="2585" formatCode="d/m/yy;@">
                  <c:v>44684</c:v>
                </c:pt>
                <c:pt idx="2586" formatCode="d/m/yy;@">
                  <c:v>44685</c:v>
                </c:pt>
                <c:pt idx="2587" formatCode="d/m/yy;@">
                  <c:v>44686</c:v>
                </c:pt>
                <c:pt idx="2588" formatCode="d/m/yy;@">
                  <c:v>44687</c:v>
                </c:pt>
                <c:pt idx="2589" formatCode="d/m/yy;@">
                  <c:v>44688</c:v>
                </c:pt>
                <c:pt idx="2590" formatCode="d/m/yy;@">
                  <c:v>44689</c:v>
                </c:pt>
                <c:pt idx="2591" formatCode="d/m/yy;@">
                  <c:v>44690</c:v>
                </c:pt>
                <c:pt idx="2592" formatCode="d/m/yy;@">
                  <c:v>44691</c:v>
                </c:pt>
                <c:pt idx="2593" formatCode="d/m/yy;@">
                  <c:v>44692</c:v>
                </c:pt>
                <c:pt idx="2594" formatCode="d/m/yy;@">
                  <c:v>44693</c:v>
                </c:pt>
                <c:pt idx="2595" formatCode="d/m/yy;@">
                  <c:v>44694</c:v>
                </c:pt>
                <c:pt idx="2596" formatCode="d/m/yy;@">
                  <c:v>44695</c:v>
                </c:pt>
                <c:pt idx="2597" formatCode="d/m/yy;@">
                  <c:v>44696</c:v>
                </c:pt>
                <c:pt idx="2598" formatCode="d/m/yy;@">
                  <c:v>44697</c:v>
                </c:pt>
                <c:pt idx="2599" formatCode="d/m/yy;@">
                  <c:v>44698</c:v>
                </c:pt>
                <c:pt idx="2600" formatCode="d/m/yy;@">
                  <c:v>44699</c:v>
                </c:pt>
                <c:pt idx="2601" formatCode="d/m/yy;@">
                  <c:v>44700</c:v>
                </c:pt>
                <c:pt idx="2602" formatCode="d/m/yy;@">
                  <c:v>44701</c:v>
                </c:pt>
                <c:pt idx="2603" formatCode="d/m/yy;@">
                  <c:v>44702</c:v>
                </c:pt>
                <c:pt idx="2604" formatCode="d/m/yy;@">
                  <c:v>44703</c:v>
                </c:pt>
                <c:pt idx="2605" formatCode="d/m/yy;@">
                  <c:v>44704</c:v>
                </c:pt>
                <c:pt idx="2606" formatCode="d/m/yy;@">
                  <c:v>44705</c:v>
                </c:pt>
                <c:pt idx="2607" formatCode="d/m/yy;@">
                  <c:v>44706</c:v>
                </c:pt>
                <c:pt idx="2608" formatCode="d/m/yy;@">
                  <c:v>44707</c:v>
                </c:pt>
                <c:pt idx="2609" formatCode="d/m/yy;@">
                  <c:v>44708</c:v>
                </c:pt>
                <c:pt idx="2610" formatCode="d/m/yy;@">
                  <c:v>44709</c:v>
                </c:pt>
                <c:pt idx="2611" formatCode="d/m/yy;@">
                  <c:v>44710</c:v>
                </c:pt>
                <c:pt idx="2612" formatCode="d/m/yy;@">
                  <c:v>44711</c:v>
                </c:pt>
                <c:pt idx="2613" formatCode="d/m/yy;@">
                  <c:v>44712</c:v>
                </c:pt>
                <c:pt idx="2614" formatCode="d/m/yy;@">
                  <c:v>44713</c:v>
                </c:pt>
                <c:pt idx="2615" formatCode="d/m/yy;@">
                  <c:v>44714</c:v>
                </c:pt>
                <c:pt idx="2616" formatCode="d/m/yy;@">
                  <c:v>44715</c:v>
                </c:pt>
                <c:pt idx="2617" formatCode="d/m/yy;@">
                  <c:v>44716</c:v>
                </c:pt>
                <c:pt idx="2618" formatCode="d/m/yy;@">
                  <c:v>44717</c:v>
                </c:pt>
                <c:pt idx="2619" formatCode="d/m/yy;@">
                  <c:v>44718</c:v>
                </c:pt>
                <c:pt idx="2620" formatCode="d/m/yy;@">
                  <c:v>44719</c:v>
                </c:pt>
                <c:pt idx="2621" formatCode="d/m/yy;@">
                  <c:v>44720</c:v>
                </c:pt>
                <c:pt idx="2622" formatCode="d/m/yy;@">
                  <c:v>44721</c:v>
                </c:pt>
                <c:pt idx="2623" formatCode="d/m/yy;@">
                  <c:v>44722</c:v>
                </c:pt>
                <c:pt idx="2624" formatCode="d/m/yy;@">
                  <c:v>44723</c:v>
                </c:pt>
                <c:pt idx="2625" formatCode="d/m/yy;@">
                  <c:v>44724</c:v>
                </c:pt>
                <c:pt idx="2626" formatCode="d/m/yy;@">
                  <c:v>44725</c:v>
                </c:pt>
                <c:pt idx="2627" formatCode="d/m/yy;@">
                  <c:v>44726</c:v>
                </c:pt>
                <c:pt idx="2628" formatCode="d/m/yy;@">
                  <c:v>44727</c:v>
                </c:pt>
                <c:pt idx="2629" formatCode="d/m/yy;@">
                  <c:v>44728</c:v>
                </c:pt>
                <c:pt idx="2630" formatCode="d/m/yy;@">
                  <c:v>44729</c:v>
                </c:pt>
                <c:pt idx="2631" formatCode="d/m/yy;@">
                  <c:v>44730</c:v>
                </c:pt>
                <c:pt idx="2632" formatCode="d/m/yy;@">
                  <c:v>44731</c:v>
                </c:pt>
                <c:pt idx="2633" formatCode="d/m/yy;@">
                  <c:v>44732</c:v>
                </c:pt>
                <c:pt idx="2634" formatCode="d/m/yy;@">
                  <c:v>44733</c:v>
                </c:pt>
                <c:pt idx="2635" formatCode="d/m/yy;@">
                  <c:v>44734</c:v>
                </c:pt>
                <c:pt idx="2636" formatCode="d/m/yy;@">
                  <c:v>44735</c:v>
                </c:pt>
                <c:pt idx="2637" formatCode="d/m/yy;@">
                  <c:v>44736</c:v>
                </c:pt>
                <c:pt idx="2638" formatCode="d/m/yy;@">
                  <c:v>44737</c:v>
                </c:pt>
                <c:pt idx="2639" formatCode="d/m/yy;@">
                  <c:v>44738</c:v>
                </c:pt>
                <c:pt idx="2640" formatCode="d/m/yy;@">
                  <c:v>44739</c:v>
                </c:pt>
                <c:pt idx="2641" formatCode="d/m/yy;@">
                  <c:v>44740</c:v>
                </c:pt>
                <c:pt idx="2642" formatCode="d/m/yy;@">
                  <c:v>44741</c:v>
                </c:pt>
                <c:pt idx="2643" formatCode="d/m/yy;@">
                  <c:v>44742</c:v>
                </c:pt>
                <c:pt idx="2644" formatCode="d/m/yy;@">
                  <c:v>44743</c:v>
                </c:pt>
                <c:pt idx="2645" formatCode="d/m/yy;@">
                  <c:v>44744</c:v>
                </c:pt>
                <c:pt idx="2646" formatCode="d/m/yy;@">
                  <c:v>44745</c:v>
                </c:pt>
                <c:pt idx="2647" formatCode="d/m/yy;@">
                  <c:v>44746</c:v>
                </c:pt>
                <c:pt idx="2648" formatCode="d/m/yy;@">
                  <c:v>44747</c:v>
                </c:pt>
                <c:pt idx="2649" formatCode="d/m/yy;@">
                  <c:v>44748</c:v>
                </c:pt>
                <c:pt idx="2650" formatCode="d/m/yy;@">
                  <c:v>44749</c:v>
                </c:pt>
                <c:pt idx="2651" formatCode="d/m/yy;@">
                  <c:v>44750</c:v>
                </c:pt>
                <c:pt idx="2652" formatCode="d/m/yy;@">
                  <c:v>44751</c:v>
                </c:pt>
                <c:pt idx="2653" formatCode="d/m/yy;@">
                  <c:v>44752</c:v>
                </c:pt>
                <c:pt idx="2654" formatCode="d/m/yy;@">
                  <c:v>44753</c:v>
                </c:pt>
                <c:pt idx="2655" formatCode="d/m/yy;@">
                  <c:v>44754</c:v>
                </c:pt>
                <c:pt idx="2656" formatCode="d/m/yy;@">
                  <c:v>44755</c:v>
                </c:pt>
                <c:pt idx="2657" formatCode="d/m/yy;@">
                  <c:v>44756</c:v>
                </c:pt>
                <c:pt idx="2658" formatCode="d/m/yy;@">
                  <c:v>44757</c:v>
                </c:pt>
                <c:pt idx="2659" formatCode="d/m/yy;@">
                  <c:v>44758</c:v>
                </c:pt>
                <c:pt idx="2660" formatCode="d/m/yy;@">
                  <c:v>44759</c:v>
                </c:pt>
                <c:pt idx="2661" formatCode="d/m/yy;@">
                  <c:v>44760</c:v>
                </c:pt>
                <c:pt idx="2662" formatCode="d/m/yy;@">
                  <c:v>44761</c:v>
                </c:pt>
                <c:pt idx="2663" formatCode="d/m/yy;@">
                  <c:v>44762</c:v>
                </c:pt>
                <c:pt idx="2664" formatCode="d/m/yy;@">
                  <c:v>44763</c:v>
                </c:pt>
                <c:pt idx="2665" formatCode="d/m/yy;@">
                  <c:v>44764</c:v>
                </c:pt>
                <c:pt idx="2666" formatCode="d/m/yy;@">
                  <c:v>44765</c:v>
                </c:pt>
                <c:pt idx="2667" formatCode="d/m/yy;@">
                  <c:v>44766</c:v>
                </c:pt>
                <c:pt idx="2668" formatCode="d/m/yy;@">
                  <c:v>44767</c:v>
                </c:pt>
                <c:pt idx="2669" formatCode="d/m/yy;@">
                  <c:v>44768</c:v>
                </c:pt>
                <c:pt idx="2670" formatCode="d/m/yy;@">
                  <c:v>44769</c:v>
                </c:pt>
                <c:pt idx="2671" formatCode="d/m/yy;@">
                  <c:v>44770</c:v>
                </c:pt>
                <c:pt idx="2672" formatCode="d/m/yy;@">
                  <c:v>44771</c:v>
                </c:pt>
              </c:numCache>
            </c:numRef>
          </c:xVal>
          <c:yVal>
            <c:numRef>
              <c:f>'ds vypočet'!$J$6:$J$2678</c:f>
              <c:numCache>
                <c:formatCode>General</c:formatCode>
                <c:ptCount val="2673"/>
                <c:pt idx="0">
                  <c:v>2.335</c:v>
                </c:pt>
                <c:pt idx="1">
                  <c:v>2.5</c:v>
                </c:pt>
                <c:pt idx="2">
                  <c:v>2.02</c:v>
                </c:pt>
                <c:pt idx="3">
                  <c:v>1.7349999999999999</c:v>
                </c:pt>
                <c:pt idx="4">
                  <c:v>1.48</c:v>
                </c:pt>
                <c:pt idx="5">
                  <c:v>1.3</c:v>
                </c:pt>
                <c:pt idx="6">
                  <c:v>0.79000000000000026</c:v>
                </c:pt>
                <c:pt idx="7">
                  <c:v>0.97000000000000008</c:v>
                </c:pt>
                <c:pt idx="8">
                  <c:v>1.3150000000000002</c:v>
                </c:pt>
                <c:pt idx="9">
                  <c:v>1.3599999999999999</c:v>
                </c:pt>
                <c:pt idx="10">
                  <c:v>0.38499999999999979</c:v>
                </c:pt>
                <c:pt idx="11">
                  <c:v>0.625</c:v>
                </c:pt>
                <c:pt idx="12">
                  <c:v>1.4950000000000001</c:v>
                </c:pt>
                <c:pt idx="13">
                  <c:v>1.915</c:v>
                </c:pt>
                <c:pt idx="14">
                  <c:v>1.63</c:v>
                </c:pt>
                <c:pt idx="15">
                  <c:v>1.1650000000000003</c:v>
                </c:pt>
                <c:pt idx="16">
                  <c:v>0.85</c:v>
                </c:pt>
                <c:pt idx="17">
                  <c:v>1.345</c:v>
                </c:pt>
                <c:pt idx="18">
                  <c:v>1.1349999999999998</c:v>
                </c:pt>
                <c:pt idx="19">
                  <c:v>0.82000000000000006</c:v>
                </c:pt>
                <c:pt idx="20">
                  <c:v>0.59500000000000008</c:v>
                </c:pt>
                <c:pt idx="21">
                  <c:v>0.67000000000000015</c:v>
                </c:pt>
                <c:pt idx="22">
                  <c:v>0.6100000000000001</c:v>
                </c:pt>
                <c:pt idx="23">
                  <c:v>1.78</c:v>
                </c:pt>
                <c:pt idx="24">
                  <c:v>1.6900000000000002</c:v>
                </c:pt>
                <c:pt idx="25">
                  <c:v>1.4650000000000001</c:v>
                </c:pt>
                <c:pt idx="26">
                  <c:v>1.375</c:v>
                </c:pt>
                <c:pt idx="27">
                  <c:v>1.2250000000000001</c:v>
                </c:pt>
                <c:pt idx="28">
                  <c:v>1.105</c:v>
                </c:pt>
                <c:pt idx="29">
                  <c:v>0.42999999999999988</c:v>
                </c:pt>
                <c:pt idx="30">
                  <c:v>0.25</c:v>
                </c:pt>
                <c:pt idx="31">
                  <c:v>0.6399999999999999</c:v>
                </c:pt>
                <c:pt idx="32">
                  <c:v>0.77500000000000002</c:v>
                </c:pt>
                <c:pt idx="33">
                  <c:v>0.89500000000000002</c:v>
                </c:pt>
                <c:pt idx="34">
                  <c:v>0.75999999999999979</c:v>
                </c:pt>
                <c:pt idx="35">
                  <c:v>0.75999999999999979</c:v>
                </c:pt>
                <c:pt idx="36">
                  <c:v>0.98499999999999976</c:v>
                </c:pt>
                <c:pt idx="37">
                  <c:v>0.27999999999999992</c:v>
                </c:pt>
                <c:pt idx="38">
                  <c:v>0.6100000000000001</c:v>
                </c:pt>
                <c:pt idx="39">
                  <c:v>1</c:v>
                </c:pt>
                <c:pt idx="40">
                  <c:v>1.1349999999999998</c:v>
                </c:pt>
                <c:pt idx="41">
                  <c:v>0.68500000000000005</c:v>
                </c:pt>
                <c:pt idx="42">
                  <c:v>0.85</c:v>
                </c:pt>
                <c:pt idx="43">
                  <c:v>0.6399999999999999</c:v>
                </c:pt>
                <c:pt idx="44">
                  <c:v>0.53500000000000003</c:v>
                </c:pt>
                <c:pt idx="45">
                  <c:v>1.1200000000000001</c:v>
                </c:pt>
                <c:pt idx="46">
                  <c:v>1.075</c:v>
                </c:pt>
                <c:pt idx="47">
                  <c:v>0.89500000000000002</c:v>
                </c:pt>
                <c:pt idx="48">
                  <c:v>0.68500000000000005</c:v>
                </c:pt>
                <c:pt idx="49">
                  <c:v>0.59500000000000008</c:v>
                </c:pt>
                <c:pt idx="50">
                  <c:v>0.47499999999999998</c:v>
                </c:pt>
                <c:pt idx="51">
                  <c:v>0.85</c:v>
                </c:pt>
                <c:pt idx="52">
                  <c:v>1.2099999999999997</c:v>
                </c:pt>
                <c:pt idx="53">
                  <c:v>0.80499999999999994</c:v>
                </c:pt>
                <c:pt idx="54">
                  <c:v>0.42999999999999988</c:v>
                </c:pt>
                <c:pt idx="55">
                  <c:v>0.68500000000000005</c:v>
                </c:pt>
                <c:pt idx="56">
                  <c:v>0.6399999999999999</c:v>
                </c:pt>
                <c:pt idx="57">
                  <c:v>0.25</c:v>
                </c:pt>
                <c:pt idx="58">
                  <c:v>0.25</c:v>
                </c:pt>
                <c:pt idx="59">
                  <c:v>0.25</c:v>
                </c:pt>
                <c:pt idx="60">
                  <c:v>0.25</c:v>
                </c:pt>
                <c:pt idx="61">
                  <c:v>0.25</c:v>
                </c:pt>
                <c:pt idx="62">
                  <c:v>0.25</c:v>
                </c:pt>
                <c:pt idx="63">
                  <c:v>0.25</c:v>
                </c:pt>
                <c:pt idx="64">
                  <c:v>0.52000000000000013</c:v>
                </c:pt>
                <c:pt idx="65">
                  <c:v>1.0449999999999999</c:v>
                </c:pt>
                <c:pt idx="66">
                  <c:v>0.52000000000000013</c:v>
                </c:pt>
                <c:pt idx="67">
                  <c:v>0.25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0.26500000000000024</c:v>
                </c:pt>
                <c:pt idx="72">
                  <c:v>0.625</c:v>
                </c:pt>
                <c:pt idx="73">
                  <c:v>0.72999999999999987</c:v>
                </c:pt>
                <c:pt idx="74">
                  <c:v>0.55000000000000004</c:v>
                </c:pt>
                <c:pt idx="75">
                  <c:v>0.80499999999999994</c:v>
                </c:pt>
                <c:pt idx="76">
                  <c:v>0.95499999999999996</c:v>
                </c:pt>
                <c:pt idx="77">
                  <c:v>0.74500000000000011</c:v>
                </c:pt>
                <c:pt idx="78">
                  <c:v>0.6100000000000001</c:v>
                </c:pt>
                <c:pt idx="79">
                  <c:v>0.86500000000000021</c:v>
                </c:pt>
                <c:pt idx="80">
                  <c:v>0.85</c:v>
                </c:pt>
                <c:pt idx="81">
                  <c:v>0.46000000000000008</c:v>
                </c:pt>
                <c:pt idx="82">
                  <c:v>0.25</c:v>
                </c:pt>
                <c:pt idx="83">
                  <c:v>0.25</c:v>
                </c:pt>
                <c:pt idx="84">
                  <c:v>0.25</c:v>
                </c:pt>
                <c:pt idx="85">
                  <c:v>0.25</c:v>
                </c:pt>
                <c:pt idx="86">
                  <c:v>0.25</c:v>
                </c:pt>
                <c:pt idx="87">
                  <c:v>0.25</c:v>
                </c:pt>
                <c:pt idx="88">
                  <c:v>0.25</c:v>
                </c:pt>
                <c:pt idx="89">
                  <c:v>0.25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0.57999999999999985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0.2950000000000001</c:v>
                </c:pt>
                <c:pt idx="116">
                  <c:v>0.37000000000000011</c:v>
                </c:pt>
                <c:pt idx="117">
                  <c:v>0.2950000000000001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0.53500000000000003</c:v>
                </c:pt>
                <c:pt idx="136">
                  <c:v>0.44500000000000012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  <c:pt idx="150">
                  <c:v>0.30999999999999978</c:v>
                </c:pt>
                <c:pt idx="151">
                  <c:v>0.27999999999999992</c:v>
                </c:pt>
                <c:pt idx="152">
                  <c:v>0.27999999999999992</c:v>
                </c:pt>
                <c:pt idx="153">
                  <c:v>0.57999999999999985</c:v>
                </c:pt>
                <c:pt idx="154">
                  <c:v>0.95499999999999996</c:v>
                </c:pt>
                <c:pt idx="155">
                  <c:v>0.97000000000000008</c:v>
                </c:pt>
                <c:pt idx="156">
                  <c:v>0.83499999999999974</c:v>
                </c:pt>
                <c:pt idx="157">
                  <c:v>0.89500000000000002</c:v>
                </c:pt>
                <c:pt idx="158">
                  <c:v>1.075</c:v>
                </c:pt>
                <c:pt idx="159">
                  <c:v>0.80499999999999994</c:v>
                </c:pt>
                <c:pt idx="160">
                  <c:v>0.55000000000000004</c:v>
                </c:pt>
                <c:pt idx="161">
                  <c:v>0.25</c:v>
                </c:pt>
                <c:pt idx="162">
                  <c:v>0.42999999999999988</c:v>
                </c:pt>
                <c:pt idx="163">
                  <c:v>0.37000000000000011</c:v>
                </c:pt>
                <c:pt idx="164">
                  <c:v>0.25</c:v>
                </c:pt>
                <c:pt idx="165">
                  <c:v>0.25</c:v>
                </c:pt>
                <c:pt idx="166">
                  <c:v>0.42999999999999988</c:v>
                </c:pt>
                <c:pt idx="167">
                  <c:v>0.44500000000000012</c:v>
                </c:pt>
                <c:pt idx="168">
                  <c:v>0.80499999999999994</c:v>
                </c:pt>
                <c:pt idx="169">
                  <c:v>0.85</c:v>
                </c:pt>
                <c:pt idx="170">
                  <c:v>0.71500000000000019</c:v>
                </c:pt>
                <c:pt idx="171">
                  <c:v>0.83499999999999974</c:v>
                </c:pt>
                <c:pt idx="172">
                  <c:v>0.92500000000000004</c:v>
                </c:pt>
                <c:pt idx="173">
                  <c:v>0.75999999999999979</c:v>
                </c:pt>
                <c:pt idx="174">
                  <c:v>0.7</c:v>
                </c:pt>
                <c:pt idx="175">
                  <c:v>1</c:v>
                </c:pt>
                <c:pt idx="176">
                  <c:v>0.98499999999999976</c:v>
                </c:pt>
                <c:pt idx="177">
                  <c:v>1.105</c:v>
                </c:pt>
                <c:pt idx="178">
                  <c:v>1.3299999999999998</c:v>
                </c:pt>
                <c:pt idx="179">
                  <c:v>1.5549999999999999</c:v>
                </c:pt>
                <c:pt idx="180">
                  <c:v>1.18</c:v>
                </c:pt>
                <c:pt idx="181">
                  <c:v>0.85</c:v>
                </c:pt>
                <c:pt idx="182">
                  <c:v>0.80499999999999994</c:v>
                </c:pt>
                <c:pt idx="183">
                  <c:v>0.7</c:v>
                </c:pt>
                <c:pt idx="184">
                  <c:v>0.79000000000000026</c:v>
                </c:pt>
                <c:pt idx="185">
                  <c:v>0.67000000000000015</c:v>
                </c:pt>
                <c:pt idx="186">
                  <c:v>0.85</c:v>
                </c:pt>
                <c:pt idx="187">
                  <c:v>1.1950000000000001</c:v>
                </c:pt>
                <c:pt idx="188">
                  <c:v>1.54</c:v>
                </c:pt>
                <c:pt idx="189">
                  <c:v>1.9750000000000001</c:v>
                </c:pt>
                <c:pt idx="190">
                  <c:v>2.35</c:v>
                </c:pt>
                <c:pt idx="191">
                  <c:v>2.4849999999999999</c:v>
                </c:pt>
                <c:pt idx="192">
                  <c:v>2.0949999999999998</c:v>
                </c:pt>
                <c:pt idx="193">
                  <c:v>1.54</c:v>
                </c:pt>
                <c:pt idx="194">
                  <c:v>1.5249999999999999</c:v>
                </c:pt>
                <c:pt idx="195">
                  <c:v>1.8099999999999998</c:v>
                </c:pt>
                <c:pt idx="196">
                  <c:v>2.0650000000000004</c:v>
                </c:pt>
                <c:pt idx="197">
                  <c:v>1.66</c:v>
                </c:pt>
                <c:pt idx="198">
                  <c:v>1.84</c:v>
                </c:pt>
                <c:pt idx="199">
                  <c:v>1.5249999999999999</c:v>
                </c:pt>
                <c:pt idx="200">
                  <c:v>1.405</c:v>
                </c:pt>
                <c:pt idx="201">
                  <c:v>1.2849999999999997</c:v>
                </c:pt>
                <c:pt idx="202">
                  <c:v>1.915</c:v>
                </c:pt>
                <c:pt idx="203">
                  <c:v>1.7650000000000001</c:v>
                </c:pt>
                <c:pt idx="204">
                  <c:v>1.4950000000000001</c:v>
                </c:pt>
                <c:pt idx="205">
                  <c:v>1.54</c:v>
                </c:pt>
                <c:pt idx="206">
                  <c:v>1.585</c:v>
                </c:pt>
                <c:pt idx="207">
                  <c:v>1.51</c:v>
                </c:pt>
                <c:pt idx="208">
                  <c:v>1.45</c:v>
                </c:pt>
                <c:pt idx="209">
                  <c:v>1.45</c:v>
                </c:pt>
                <c:pt idx="210">
                  <c:v>1.6900000000000002</c:v>
                </c:pt>
                <c:pt idx="211">
                  <c:v>2.2450000000000001</c:v>
                </c:pt>
                <c:pt idx="212">
                  <c:v>2.56</c:v>
                </c:pt>
                <c:pt idx="213">
                  <c:v>2.56</c:v>
                </c:pt>
                <c:pt idx="214">
                  <c:v>1.72</c:v>
                </c:pt>
                <c:pt idx="215">
                  <c:v>1.585</c:v>
                </c:pt>
                <c:pt idx="216">
                  <c:v>0.77500000000000002</c:v>
                </c:pt>
                <c:pt idx="217">
                  <c:v>0.77500000000000002</c:v>
                </c:pt>
                <c:pt idx="218">
                  <c:v>0.98499999999999976</c:v>
                </c:pt>
                <c:pt idx="219">
                  <c:v>0.57999999999999985</c:v>
                </c:pt>
                <c:pt idx="220">
                  <c:v>0.85</c:v>
                </c:pt>
                <c:pt idx="221">
                  <c:v>1.3</c:v>
                </c:pt>
                <c:pt idx="222">
                  <c:v>1.27</c:v>
                </c:pt>
                <c:pt idx="223">
                  <c:v>1.72</c:v>
                </c:pt>
                <c:pt idx="224">
                  <c:v>1.4349999999999998</c:v>
                </c:pt>
                <c:pt idx="225">
                  <c:v>1.0299999999999998</c:v>
                </c:pt>
                <c:pt idx="226">
                  <c:v>1.1950000000000001</c:v>
                </c:pt>
                <c:pt idx="227">
                  <c:v>0.83499999999999974</c:v>
                </c:pt>
                <c:pt idx="228">
                  <c:v>1.1200000000000001</c:v>
                </c:pt>
                <c:pt idx="229">
                  <c:v>1.7950000000000002</c:v>
                </c:pt>
                <c:pt idx="230">
                  <c:v>2.3199999999999998</c:v>
                </c:pt>
                <c:pt idx="231">
                  <c:v>2.6950000000000003</c:v>
                </c:pt>
                <c:pt idx="232">
                  <c:v>2.7700000000000005</c:v>
                </c:pt>
                <c:pt idx="233">
                  <c:v>2.9350000000000001</c:v>
                </c:pt>
                <c:pt idx="234">
                  <c:v>2.7549999999999999</c:v>
                </c:pt>
                <c:pt idx="235">
                  <c:v>2.5150000000000001</c:v>
                </c:pt>
                <c:pt idx="236">
                  <c:v>2.44</c:v>
                </c:pt>
                <c:pt idx="237">
                  <c:v>2.65</c:v>
                </c:pt>
                <c:pt idx="238">
                  <c:v>2.1849999999999996</c:v>
                </c:pt>
                <c:pt idx="239">
                  <c:v>1.75</c:v>
                </c:pt>
                <c:pt idx="240">
                  <c:v>1.66</c:v>
                </c:pt>
                <c:pt idx="241">
                  <c:v>1.57</c:v>
                </c:pt>
                <c:pt idx="242">
                  <c:v>1.8099999999999998</c:v>
                </c:pt>
                <c:pt idx="243">
                  <c:v>2.29</c:v>
                </c:pt>
                <c:pt idx="244">
                  <c:v>2.0650000000000004</c:v>
                </c:pt>
                <c:pt idx="245">
                  <c:v>1.885</c:v>
                </c:pt>
                <c:pt idx="246">
                  <c:v>1.8099999999999998</c:v>
                </c:pt>
                <c:pt idx="247">
                  <c:v>2.44</c:v>
                </c:pt>
                <c:pt idx="248">
                  <c:v>2.3050000000000002</c:v>
                </c:pt>
                <c:pt idx="249">
                  <c:v>2.5150000000000001</c:v>
                </c:pt>
                <c:pt idx="250">
                  <c:v>2.5150000000000001</c:v>
                </c:pt>
                <c:pt idx="251">
                  <c:v>2.08</c:v>
                </c:pt>
                <c:pt idx="252">
                  <c:v>1.96</c:v>
                </c:pt>
                <c:pt idx="253">
                  <c:v>2.6349999999999998</c:v>
                </c:pt>
                <c:pt idx="254">
                  <c:v>2.1550000000000002</c:v>
                </c:pt>
                <c:pt idx="255">
                  <c:v>2.14</c:v>
                </c:pt>
                <c:pt idx="256">
                  <c:v>1.645</c:v>
                </c:pt>
                <c:pt idx="257">
                  <c:v>1.6900000000000002</c:v>
                </c:pt>
                <c:pt idx="258">
                  <c:v>1.63</c:v>
                </c:pt>
                <c:pt idx="259">
                  <c:v>2.2749999999999999</c:v>
                </c:pt>
                <c:pt idx="260">
                  <c:v>2.0949999999999998</c:v>
                </c:pt>
                <c:pt idx="261">
                  <c:v>1.4200000000000002</c:v>
                </c:pt>
                <c:pt idx="262">
                  <c:v>1.5549999999999999</c:v>
                </c:pt>
                <c:pt idx="263">
                  <c:v>2.3199999999999998</c:v>
                </c:pt>
                <c:pt idx="264">
                  <c:v>1.5549999999999999</c:v>
                </c:pt>
                <c:pt idx="265">
                  <c:v>1.1950000000000001</c:v>
                </c:pt>
                <c:pt idx="266">
                  <c:v>1.57</c:v>
                </c:pt>
                <c:pt idx="267">
                  <c:v>1.66</c:v>
                </c:pt>
                <c:pt idx="268">
                  <c:v>2.3050000000000002</c:v>
                </c:pt>
                <c:pt idx="269">
                  <c:v>2.74</c:v>
                </c:pt>
                <c:pt idx="270">
                  <c:v>3.19</c:v>
                </c:pt>
                <c:pt idx="271">
                  <c:v>2.9799999999999995</c:v>
                </c:pt>
                <c:pt idx="272">
                  <c:v>2.9350000000000001</c:v>
                </c:pt>
                <c:pt idx="273">
                  <c:v>3.5050000000000003</c:v>
                </c:pt>
                <c:pt idx="274">
                  <c:v>3.76</c:v>
                </c:pt>
                <c:pt idx="275">
                  <c:v>3.64</c:v>
                </c:pt>
                <c:pt idx="276">
                  <c:v>3.3250000000000002</c:v>
                </c:pt>
                <c:pt idx="277">
                  <c:v>3.04</c:v>
                </c:pt>
                <c:pt idx="278">
                  <c:v>2.5</c:v>
                </c:pt>
                <c:pt idx="279">
                  <c:v>3.2800000000000002</c:v>
                </c:pt>
                <c:pt idx="280">
                  <c:v>2.7250000000000001</c:v>
                </c:pt>
                <c:pt idx="281">
                  <c:v>2.4849999999999999</c:v>
                </c:pt>
                <c:pt idx="282">
                  <c:v>2.1550000000000002</c:v>
                </c:pt>
                <c:pt idx="283">
                  <c:v>2.35</c:v>
                </c:pt>
                <c:pt idx="284">
                  <c:v>2.6950000000000003</c:v>
                </c:pt>
                <c:pt idx="285">
                  <c:v>2.71</c:v>
                </c:pt>
                <c:pt idx="286">
                  <c:v>3.0549999999999997</c:v>
                </c:pt>
                <c:pt idx="287">
                  <c:v>3.2949999999999999</c:v>
                </c:pt>
                <c:pt idx="288">
                  <c:v>3.8650000000000002</c:v>
                </c:pt>
                <c:pt idx="289">
                  <c:v>4.0600000000000005</c:v>
                </c:pt>
                <c:pt idx="290">
                  <c:v>3.64</c:v>
                </c:pt>
                <c:pt idx="291">
                  <c:v>3.64</c:v>
                </c:pt>
                <c:pt idx="292">
                  <c:v>4.3</c:v>
                </c:pt>
                <c:pt idx="293">
                  <c:v>3.9550000000000001</c:v>
                </c:pt>
                <c:pt idx="294">
                  <c:v>2.4549999999999996</c:v>
                </c:pt>
                <c:pt idx="295">
                  <c:v>2.11</c:v>
                </c:pt>
                <c:pt idx="296">
                  <c:v>1.885</c:v>
                </c:pt>
                <c:pt idx="297">
                  <c:v>1.3599999999999999</c:v>
                </c:pt>
                <c:pt idx="298">
                  <c:v>1.6</c:v>
                </c:pt>
                <c:pt idx="299">
                  <c:v>2.0650000000000004</c:v>
                </c:pt>
                <c:pt idx="300">
                  <c:v>1.7650000000000001</c:v>
                </c:pt>
                <c:pt idx="301">
                  <c:v>2.2599999999999998</c:v>
                </c:pt>
                <c:pt idx="302">
                  <c:v>1.57</c:v>
                </c:pt>
                <c:pt idx="303">
                  <c:v>1.27</c:v>
                </c:pt>
                <c:pt idx="304">
                  <c:v>2.11</c:v>
                </c:pt>
                <c:pt idx="305">
                  <c:v>2.44</c:v>
                </c:pt>
                <c:pt idx="306">
                  <c:v>2.3199999999999998</c:v>
                </c:pt>
                <c:pt idx="307">
                  <c:v>1.99</c:v>
                </c:pt>
                <c:pt idx="308">
                  <c:v>2.38</c:v>
                </c:pt>
                <c:pt idx="309">
                  <c:v>1.645</c:v>
                </c:pt>
                <c:pt idx="310">
                  <c:v>1.6</c:v>
                </c:pt>
                <c:pt idx="311">
                  <c:v>2.0949999999999998</c:v>
                </c:pt>
                <c:pt idx="312">
                  <c:v>2.2749999999999999</c:v>
                </c:pt>
                <c:pt idx="313">
                  <c:v>2.62</c:v>
                </c:pt>
                <c:pt idx="314">
                  <c:v>2.56</c:v>
                </c:pt>
                <c:pt idx="315">
                  <c:v>1.885</c:v>
                </c:pt>
                <c:pt idx="316">
                  <c:v>2.0350000000000001</c:v>
                </c:pt>
                <c:pt idx="317">
                  <c:v>2.65</c:v>
                </c:pt>
                <c:pt idx="318">
                  <c:v>2.9049999999999998</c:v>
                </c:pt>
                <c:pt idx="319">
                  <c:v>2.56</c:v>
                </c:pt>
                <c:pt idx="320">
                  <c:v>2.5</c:v>
                </c:pt>
                <c:pt idx="321">
                  <c:v>2.38</c:v>
                </c:pt>
                <c:pt idx="322">
                  <c:v>1.375</c:v>
                </c:pt>
                <c:pt idx="323">
                  <c:v>1.1499999999999999</c:v>
                </c:pt>
                <c:pt idx="324">
                  <c:v>2.4549999999999996</c:v>
                </c:pt>
                <c:pt idx="325">
                  <c:v>2.5150000000000001</c:v>
                </c:pt>
                <c:pt idx="326">
                  <c:v>2.8299999999999996</c:v>
                </c:pt>
                <c:pt idx="327">
                  <c:v>2.9049999999999998</c:v>
                </c:pt>
                <c:pt idx="328">
                  <c:v>2.89</c:v>
                </c:pt>
                <c:pt idx="329">
                  <c:v>2.62</c:v>
                </c:pt>
                <c:pt idx="330">
                  <c:v>2.5299999999999998</c:v>
                </c:pt>
                <c:pt idx="331">
                  <c:v>2.9049999999999998</c:v>
                </c:pt>
                <c:pt idx="332">
                  <c:v>2.5450000000000004</c:v>
                </c:pt>
                <c:pt idx="333">
                  <c:v>2.3650000000000002</c:v>
                </c:pt>
                <c:pt idx="334">
                  <c:v>2.35</c:v>
                </c:pt>
                <c:pt idx="335">
                  <c:v>2.335</c:v>
                </c:pt>
                <c:pt idx="336">
                  <c:v>2.3199999999999998</c:v>
                </c:pt>
                <c:pt idx="337">
                  <c:v>2.5450000000000004</c:v>
                </c:pt>
                <c:pt idx="338">
                  <c:v>2.65</c:v>
                </c:pt>
                <c:pt idx="339">
                  <c:v>2.7700000000000005</c:v>
                </c:pt>
                <c:pt idx="340">
                  <c:v>2.17</c:v>
                </c:pt>
                <c:pt idx="341">
                  <c:v>2.17</c:v>
                </c:pt>
                <c:pt idx="342">
                  <c:v>2.335</c:v>
                </c:pt>
                <c:pt idx="343">
                  <c:v>2.38</c:v>
                </c:pt>
                <c:pt idx="344">
                  <c:v>2.4099999999999997</c:v>
                </c:pt>
                <c:pt idx="345">
                  <c:v>2.4849999999999999</c:v>
                </c:pt>
                <c:pt idx="346">
                  <c:v>2.4099999999999997</c:v>
                </c:pt>
                <c:pt idx="347">
                  <c:v>2.29</c:v>
                </c:pt>
                <c:pt idx="348">
                  <c:v>2.14</c:v>
                </c:pt>
                <c:pt idx="349">
                  <c:v>2.14</c:v>
                </c:pt>
                <c:pt idx="350">
                  <c:v>2.23</c:v>
                </c:pt>
                <c:pt idx="351">
                  <c:v>1.93</c:v>
                </c:pt>
                <c:pt idx="352">
                  <c:v>1.9750000000000001</c:v>
                </c:pt>
                <c:pt idx="353">
                  <c:v>2.125</c:v>
                </c:pt>
                <c:pt idx="354">
                  <c:v>2.1849999999999996</c:v>
                </c:pt>
                <c:pt idx="355">
                  <c:v>2.08</c:v>
                </c:pt>
                <c:pt idx="356">
                  <c:v>1.915</c:v>
                </c:pt>
                <c:pt idx="357">
                  <c:v>1.45</c:v>
                </c:pt>
                <c:pt idx="358">
                  <c:v>1.2849999999999997</c:v>
                </c:pt>
                <c:pt idx="359">
                  <c:v>1.4200000000000002</c:v>
                </c:pt>
                <c:pt idx="360">
                  <c:v>1.585</c:v>
                </c:pt>
                <c:pt idx="361">
                  <c:v>1.2549999999999999</c:v>
                </c:pt>
                <c:pt idx="362">
                  <c:v>2.08</c:v>
                </c:pt>
                <c:pt idx="363">
                  <c:v>1.8099999999999998</c:v>
                </c:pt>
                <c:pt idx="364">
                  <c:v>1.27</c:v>
                </c:pt>
                <c:pt idx="365">
                  <c:v>0.86500000000000021</c:v>
                </c:pt>
                <c:pt idx="366">
                  <c:v>0.41499999999999992</c:v>
                </c:pt>
                <c:pt idx="367">
                  <c:v>0.79000000000000026</c:v>
                </c:pt>
                <c:pt idx="368">
                  <c:v>0.92500000000000004</c:v>
                </c:pt>
                <c:pt idx="369">
                  <c:v>1.3599999999999999</c:v>
                </c:pt>
                <c:pt idx="370">
                  <c:v>1.72</c:v>
                </c:pt>
                <c:pt idx="371">
                  <c:v>1.9</c:v>
                </c:pt>
                <c:pt idx="372">
                  <c:v>1.57</c:v>
                </c:pt>
                <c:pt idx="373">
                  <c:v>1.0150000000000001</c:v>
                </c:pt>
                <c:pt idx="374">
                  <c:v>0.97000000000000008</c:v>
                </c:pt>
                <c:pt idx="375">
                  <c:v>1.2400000000000002</c:v>
                </c:pt>
                <c:pt idx="376">
                  <c:v>1.54</c:v>
                </c:pt>
                <c:pt idx="377">
                  <c:v>1</c:v>
                </c:pt>
                <c:pt idx="378">
                  <c:v>1.2549999999999999</c:v>
                </c:pt>
                <c:pt idx="379">
                  <c:v>1.4650000000000001</c:v>
                </c:pt>
                <c:pt idx="380">
                  <c:v>1.51</c:v>
                </c:pt>
                <c:pt idx="381">
                  <c:v>1.63</c:v>
                </c:pt>
                <c:pt idx="382">
                  <c:v>1.51</c:v>
                </c:pt>
                <c:pt idx="383">
                  <c:v>1.375</c:v>
                </c:pt>
                <c:pt idx="384">
                  <c:v>1.645</c:v>
                </c:pt>
                <c:pt idx="385">
                  <c:v>2.2599999999999998</c:v>
                </c:pt>
                <c:pt idx="386">
                  <c:v>2.2749999999999999</c:v>
                </c:pt>
                <c:pt idx="387">
                  <c:v>2.0049999999999999</c:v>
                </c:pt>
                <c:pt idx="388">
                  <c:v>2.0499999999999998</c:v>
                </c:pt>
                <c:pt idx="389">
                  <c:v>1.99</c:v>
                </c:pt>
                <c:pt idx="390">
                  <c:v>1.7650000000000001</c:v>
                </c:pt>
                <c:pt idx="391">
                  <c:v>1.2250000000000001</c:v>
                </c:pt>
                <c:pt idx="392">
                  <c:v>1.0299999999999998</c:v>
                </c:pt>
                <c:pt idx="393">
                  <c:v>0.97000000000000008</c:v>
                </c:pt>
                <c:pt idx="394">
                  <c:v>1.0599999999999998</c:v>
                </c:pt>
                <c:pt idx="395">
                  <c:v>1.675</c:v>
                </c:pt>
                <c:pt idx="396">
                  <c:v>1.0449999999999999</c:v>
                </c:pt>
                <c:pt idx="397">
                  <c:v>0.6100000000000001</c:v>
                </c:pt>
                <c:pt idx="398">
                  <c:v>0.53500000000000003</c:v>
                </c:pt>
                <c:pt idx="399">
                  <c:v>0.68500000000000005</c:v>
                </c:pt>
                <c:pt idx="400">
                  <c:v>0.52000000000000013</c:v>
                </c:pt>
                <c:pt idx="401">
                  <c:v>0.50499999999999989</c:v>
                </c:pt>
                <c:pt idx="402">
                  <c:v>0.52000000000000013</c:v>
                </c:pt>
                <c:pt idx="403">
                  <c:v>0.625</c:v>
                </c:pt>
                <c:pt idx="404">
                  <c:v>0.2950000000000001</c:v>
                </c:pt>
                <c:pt idx="405">
                  <c:v>0.79000000000000026</c:v>
                </c:pt>
                <c:pt idx="406">
                  <c:v>1.63</c:v>
                </c:pt>
                <c:pt idx="407">
                  <c:v>1.54</c:v>
                </c:pt>
                <c:pt idx="408">
                  <c:v>1.3299999999999998</c:v>
                </c:pt>
                <c:pt idx="409">
                  <c:v>0.85</c:v>
                </c:pt>
                <c:pt idx="410">
                  <c:v>0.65499999999999992</c:v>
                </c:pt>
                <c:pt idx="411">
                  <c:v>0.34000000000000019</c:v>
                </c:pt>
                <c:pt idx="412">
                  <c:v>0.35499999999999987</c:v>
                </c:pt>
                <c:pt idx="413">
                  <c:v>0.25</c:v>
                </c:pt>
                <c:pt idx="414">
                  <c:v>0.25</c:v>
                </c:pt>
                <c:pt idx="415">
                  <c:v>0.42999999999999988</c:v>
                </c:pt>
                <c:pt idx="416">
                  <c:v>0.7</c:v>
                </c:pt>
                <c:pt idx="417">
                  <c:v>0.4</c:v>
                </c:pt>
                <c:pt idx="418">
                  <c:v>0.2950000000000001</c:v>
                </c:pt>
                <c:pt idx="419">
                  <c:v>0.25</c:v>
                </c:pt>
                <c:pt idx="420">
                  <c:v>0.25</c:v>
                </c:pt>
                <c:pt idx="421">
                  <c:v>0.25</c:v>
                </c:pt>
                <c:pt idx="422">
                  <c:v>0.25</c:v>
                </c:pt>
                <c:pt idx="423">
                  <c:v>0.26500000000000024</c:v>
                </c:pt>
                <c:pt idx="424">
                  <c:v>0.32500000000000001</c:v>
                </c:pt>
                <c:pt idx="425">
                  <c:v>0.41499999999999992</c:v>
                </c:pt>
                <c:pt idx="426">
                  <c:v>0.25</c:v>
                </c:pt>
                <c:pt idx="427">
                  <c:v>0.25</c:v>
                </c:pt>
                <c:pt idx="428">
                  <c:v>0.25</c:v>
                </c:pt>
                <c:pt idx="429">
                  <c:v>0.25</c:v>
                </c:pt>
                <c:pt idx="430">
                  <c:v>0.25</c:v>
                </c:pt>
                <c:pt idx="431">
                  <c:v>0.25</c:v>
                </c:pt>
                <c:pt idx="432">
                  <c:v>0.25</c:v>
                </c:pt>
                <c:pt idx="433">
                  <c:v>0.41499999999999992</c:v>
                </c:pt>
                <c:pt idx="434">
                  <c:v>0.41499999999999992</c:v>
                </c:pt>
                <c:pt idx="435">
                  <c:v>0.25</c:v>
                </c:pt>
                <c:pt idx="436">
                  <c:v>0.25</c:v>
                </c:pt>
                <c:pt idx="437">
                  <c:v>0.44500000000000012</c:v>
                </c:pt>
                <c:pt idx="438">
                  <c:v>0.25</c:v>
                </c:pt>
                <c:pt idx="439">
                  <c:v>0.52000000000000013</c:v>
                </c:pt>
                <c:pt idx="440">
                  <c:v>0.25</c:v>
                </c:pt>
                <c:pt idx="441">
                  <c:v>0.26500000000000024</c:v>
                </c:pt>
                <c:pt idx="442">
                  <c:v>0.4</c:v>
                </c:pt>
                <c:pt idx="443">
                  <c:v>0.25</c:v>
                </c:pt>
                <c:pt idx="444">
                  <c:v>0.25</c:v>
                </c:pt>
                <c:pt idx="445">
                  <c:v>0.25</c:v>
                </c:pt>
                <c:pt idx="446">
                  <c:v>0.25</c:v>
                </c:pt>
                <c:pt idx="447">
                  <c:v>0.25</c:v>
                </c:pt>
                <c:pt idx="448">
                  <c:v>0.25</c:v>
                </c:pt>
                <c:pt idx="449">
                  <c:v>0.25</c:v>
                </c:pt>
                <c:pt idx="450">
                  <c:v>0.25</c:v>
                </c:pt>
                <c:pt idx="451">
                  <c:v>0.25</c:v>
                </c:pt>
                <c:pt idx="452">
                  <c:v>0.25</c:v>
                </c:pt>
                <c:pt idx="453">
                  <c:v>0.25</c:v>
                </c:pt>
                <c:pt idx="454">
                  <c:v>0.25</c:v>
                </c:pt>
                <c:pt idx="455">
                  <c:v>0.37000000000000011</c:v>
                </c:pt>
                <c:pt idx="456">
                  <c:v>0.25</c:v>
                </c:pt>
                <c:pt idx="457">
                  <c:v>0.25</c:v>
                </c:pt>
                <c:pt idx="458">
                  <c:v>0.25</c:v>
                </c:pt>
                <c:pt idx="459">
                  <c:v>0.25</c:v>
                </c:pt>
                <c:pt idx="460">
                  <c:v>0.25</c:v>
                </c:pt>
                <c:pt idx="461">
                  <c:v>0.25</c:v>
                </c:pt>
                <c:pt idx="462">
                  <c:v>0.25</c:v>
                </c:pt>
                <c:pt idx="463">
                  <c:v>0.25</c:v>
                </c:pt>
                <c:pt idx="464">
                  <c:v>0.25</c:v>
                </c:pt>
                <c:pt idx="465">
                  <c:v>0.25</c:v>
                </c:pt>
                <c:pt idx="466">
                  <c:v>0.71500000000000019</c:v>
                </c:pt>
                <c:pt idx="467">
                  <c:v>0.59500000000000008</c:v>
                </c:pt>
                <c:pt idx="468">
                  <c:v>0.25</c:v>
                </c:pt>
                <c:pt idx="469">
                  <c:v>0.25</c:v>
                </c:pt>
                <c:pt idx="470">
                  <c:v>0.25</c:v>
                </c:pt>
                <c:pt idx="471">
                  <c:v>0.25</c:v>
                </c:pt>
                <c:pt idx="472">
                  <c:v>0.25</c:v>
                </c:pt>
                <c:pt idx="473">
                  <c:v>0.25</c:v>
                </c:pt>
                <c:pt idx="474">
                  <c:v>0.25</c:v>
                </c:pt>
                <c:pt idx="475">
                  <c:v>0.25</c:v>
                </c:pt>
                <c:pt idx="476">
                  <c:v>0.25</c:v>
                </c:pt>
                <c:pt idx="477">
                  <c:v>0.25</c:v>
                </c:pt>
                <c:pt idx="478">
                  <c:v>0.25</c:v>
                </c:pt>
                <c:pt idx="479">
                  <c:v>0.25</c:v>
                </c:pt>
                <c:pt idx="480">
                  <c:v>0.25</c:v>
                </c:pt>
                <c:pt idx="481">
                  <c:v>0.25</c:v>
                </c:pt>
                <c:pt idx="482">
                  <c:v>0.25</c:v>
                </c:pt>
                <c:pt idx="483">
                  <c:v>0.25</c:v>
                </c:pt>
                <c:pt idx="484">
                  <c:v>0.25</c:v>
                </c:pt>
                <c:pt idx="485">
                  <c:v>0.32500000000000001</c:v>
                </c:pt>
                <c:pt idx="486">
                  <c:v>0.25</c:v>
                </c:pt>
                <c:pt idx="487">
                  <c:v>0.25</c:v>
                </c:pt>
                <c:pt idx="488">
                  <c:v>0.27999999999999992</c:v>
                </c:pt>
                <c:pt idx="489">
                  <c:v>0.25</c:v>
                </c:pt>
                <c:pt idx="490">
                  <c:v>0.25</c:v>
                </c:pt>
                <c:pt idx="491">
                  <c:v>0.25</c:v>
                </c:pt>
                <c:pt idx="492">
                  <c:v>0.35499999999999987</c:v>
                </c:pt>
                <c:pt idx="493">
                  <c:v>0.82000000000000006</c:v>
                </c:pt>
                <c:pt idx="494">
                  <c:v>0.85</c:v>
                </c:pt>
                <c:pt idx="495">
                  <c:v>0.6399999999999999</c:v>
                </c:pt>
                <c:pt idx="496">
                  <c:v>0.25</c:v>
                </c:pt>
                <c:pt idx="497">
                  <c:v>0.25</c:v>
                </c:pt>
                <c:pt idx="498">
                  <c:v>0.25</c:v>
                </c:pt>
                <c:pt idx="499">
                  <c:v>0.25</c:v>
                </c:pt>
                <c:pt idx="500">
                  <c:v>0.47499999999999998</c:v>
                </c:pt>
                <c:pt idx="501">
                  <c:v>0.25</c:v>
                </c:pt>
                <c:pt idx="502">
                  <c:v>0.25</c:v>
                </c:pt>
                <c:pt idx="503">
                  <c:v>0.25</c:v>
                </c:pt>
                <c:pt idx="504">
                  <c:v>0.25</c:v>
                </c:pt>
                <c:pt idx="505">
                  <c:v>0.25</c:v>
                </c:pt>
                <c:pt idx="506">
                  <c:v>0.25</c:v>
                </c:pt>
                <c:pt idx="507">
                  <c:v>0.25</c:v>
                </c:pt>
                <c:pt idx="508">
                  <c:v>0.25</c:v>
                </c:pt>
                <c:pt idx="509">
                  <c:v>0.25</c:v>
                </c:pt>
                <c:pt idx="510">
                  <c:v>0.25</c:v>
                </c:pt>
                <c:pt idx="511">
                  <c:v>0.25</c:v>
                </c:pt>
                <c:pt idx="512">
                  <c:v>0.25</c:v>
                </c:pt>
                <c:pt idx="513">
                  <c:v>0.25</c:v>
                </c:pt>
                <c:pt idx="514">
                  <c:v>0.2950000000000001</c:v>
                </c:pt>
                <c:pt idx="515">
                  <c:v>0.25</c:v>
                </c:pt>
                <c:pt idx="516">
                  <c:v>0.25</c:v>
                </c:pt>
                <c:pt idx="517">
                  <c:v>0.25</c:v>
                </c:pt>
                <c:pt idx="518">
                  <c:v>0.25</c:v>
                </c:pt>
                <c:pt idx="519">
                  <c:v>0.37000000000000011</c:v>
                </c:pt>
                <c:pt idx="520">
                  <c:v>0.30999999999999978</c:v>
                </c:pt>
                <c:pt idx="521">
                  <c:v>0.25</c:v>
                </c:pt>
                <c:pt idx="522">
                  <c:v>0.25</c:v>
                </c:pt>
                <c:pt idx="523">
                  <c:v>0.25</c:v>
                </c:pt>
                <c:pt idx="524">
                  <c:v>0.25</c:v>
                </c:pt>
                <c:pt idx="525">
                  <c:v>0.25</c:v>
                </c:pt>
                <c:pt idx="526">
                  <c:v>0.25</c:v>
                </c:pt>
                <c:pt idx="527">
                  <c:v>0.25</c:v>
                </c:pt>
                <c:pt idx="528">
                  <c:v>0.25</c:v>
                </c:pt>
                <c:pt idx="529">
                  <c:v>0.25</c:v>
                </c:pt>
                <c:pt idx="530">
                  <c:v>0.25</c:v>
                </c:pt>
                <c:pt idx="531">
                  <c:v>0.25</c:v>
                </c:pt>
                <c:pt idx="532">
                  <c:v>0.55000000000000004</c:v>
                </c:pt>
                <c:pt idx="533">
                  <c:v>0.94000000000000017</c:v>
                </c:pt>
                <c:pt idx="534">
                  <c:v>0.97000000000000008</c:v>
                </c:pt>
                <c:pt idx="535">
                  <c:v>0.92500000000000004</c:v>
                </c:pt>
                <c:pt idx="536">
                  <c:v>1.0299999999999998</c:v>
                </c:pt>
                <c:pt idx="537">
                  <c:v>0.85</c:v>
                </c:pt>
                <c:pt idx="538">
                  <c:v>0.74500000000000011</c:v>
                </c:pt>
                <c:pt idx="539">
                  <c:v>0.77500000000000002</c:v>
                </c:pt>
                <c:pt idx="540">
                  <c:v>0.86500000000000021</c:v>
                </c:pt>
                <c:pt idx="541">
                  <c:v>0.75999999999999979</c:v>
                </c:pt>
                <c:pt idx="542">
                  <c:v>0.52000000000000013</c:v>
                </c:pt>
                <c:pt idx="543">
                  <c:v>0.25</c:v>
                </c:pt>
                <c:pt idx="544">
                  <c:v>0.25</c:v>
                </c:pt>
                <c:pt idx="545">
                  <c:v>0.25</c:v>
                </c:pt>
                <c:pt idx="546">
                  <c:v>0.71500000000000019</c:v>
                </c:pt>
                <c:pt idx="547">
                  <c:v>1.1499999999999999</c:v>
                </c:pt>
                <c:pt idx="548">
                  <c:v>1.2400000000000002</c:v>
                </c:pt>
                <c:pt idx="549">
                  <c:v>1.78</c:v>
                </c:pt>
                <c:pt idx="550">
                  <c:v>1.675</c:v>
                </c:pt>
                <c:pt idx="551">
                  <c:v>1.66</c:v>
                </c:pt>
                <c:pt idx="552">
                  <c:v>1.72</c:v>
                </c:pt>
                <c:pt idx="553">
                  <c:v>1.645</c:v>
                </c:pt>
                <c:pt idx="554">
                  <c:v>1.8099999999999998</c:v>
                </c:pt>
                <c:pt idx="555">
                  <c:v>1.7950000000000002</c:v>
                </c:pt>
                <c:pt idx="556">
                  <c:v>1.87</c:v>
                </c:pt>
                <c:pt idx="557">
                  <c:v>1.8099999999999998</c:v>
                </c:pt>
                <c:pt idx="558">
                  <c:v>1.615</c:v>
                </c:pt>
                <c:pt idx="559">
                  <c:v>1.345</c:v>
                </c:pt>
                <c:pt idx="560">
                  <c:v>1.105</c:v>
                </c:pt>
                <c:pt idx="561">
                  <c:v>1.6</c:v>
                </c:pt>
                <c:pt idx="562">
                  <c:v>1.3150000000000002</c:v>
                </c:pt>
                <c:pt idx="563">
                  <c:v>1.2400000000000002</c:v>
                </c:pt>
                <c:pt idx="564">
                  <c:v>1.5249999999999999</c:v>
                </c:pt>
                <c:pt idx="565">
                  <c:v>1.6900000000000002</c:v>
                </c:pt>
                <c:pt idx="566">
                  <c:v>1.96</c:v>
                </c:pt>
                <c:pt idx="567">
                  <c:v>1.87</c:v>
                </c:pt>
                <c:pt idx="568">
                  <c:v>1.405</c:v>
                </c:pt>
                <c:pt idx="569">
                  <c:v>1.2549999999999999</c:v>
                </c:pt>
                <c:pt idx="570">
                  <c:v>1.48</c:v>
                </c:pt>
                <c:pt idx="571">
                  <c:v>1.45</c:v>
                </c:pt>
                <c:pt idx="572">
                  <c:v>1.375</c:v>
                </c:pt>
                <c:pt idx="573">
                  <c:v>1.3150000000000002</c:v>
                </c:pt>
                <c:pt idx="574">
                  <c:v>1.84</c:v>
                </c:pt>
                <c:pt idx="575">
                  <c:v>1.9450000000000001</c:v>
                </c:pt>
                <c:pt idx="576">
                  <c:v>1.4200000000000002</c:v>
                </c:pt>
                <c:pt idx="577">
                  <c:v>1.7349999999999999</c:v>
                </c:pt>
                <c:pt idx="578">
                  <c:v>2.2599999999999998</c:v>
                </c:pt>
                <c:pt idx="579">
                  <c:v>2.2000000000000002</c:v>
                </c:pt>
                <c:pt idx="580">
                  <c:v>2.2149999999999999</c:v>
                </c:pt>
                <c:pt idx="581">
                  <c:v>2.0049999999999999</c:v>
                </c:pt>
                <c:pt idx="582">
                  <c:v>2.2749999999999999</c:v>
                </c:pt>
                <c:pt idx="583">
                  <c:v>2.5900000000000003</c:v>
                </c:pt>
                <c:pt idx="584">
                  <c:v>2.665</c:v>
                </c:pt>
                <c:pt idx="585">
                  <c:v>2.5750000000000002</c:v>
                </c:pt>
                <c:pt idx="586">
                  <c:v>2.5</c:v>
                </c:pt>
                <c:pt idx="587">
                  <c:v>2.86</c:v>
                </c:pt>
                <c:pt idx="588">
                  <c:v>3.04</c:v>
                </c:pt>
                <c:pt idx="589">
                  <c:v>3.2199999999999998</c:v>
                </c:pt>
                <c:pt idx="590">
                  <c:v>3.0249999999999999</c:v>
                </c:pt>
                <c:pt idx="591">
                  <c:v>1.9450000000000001</c:v>
                </c:pt>
                <c:pt idx="592">
                  <c:v>1.45</c:v>
                </c:pt>
                <c:pt idx="593">
                  <c:v>1.4349999999999998</c:v>
                </c:pt>
                <c:pt idx="594">
                  <c:v>1.825</c:v>
                </c:pt>
                <c:pt idx="595">
                  <c:v>2.17</c:v>
                </c:pt>
                <c:pt idx="596">
                  <c:v>2.2599999999999998</c:v>
                </c:pt>
                <c:pt idx="597">
                  <c:v>1.66</c:v>
                </c:pt>
                <c:pt idx="598">
                  <c:v>1.6900000000000002</c:v>
                </c:pt>
                <c:pt idx="599">
                  <c:v>1.78</c:v>
                </c:pt>
                <c:pt idx="600">
                  <c:v>2.0049999999999999</c:v>
                </c:pt>
                <c:pt idx="601">
                  <c:v>2.35</c:v>
                </c:pt>
                <c:pt idx="602">
                  <c:v>2.2599999999999998</c:v>
                </c:pt>
                <c:pt idx="603">
                  <c:v>2.86</c:v>
                </c:pt>
                <c:pt idx="604">
                  <c:v>3.0549999999999997</c:v>
                </c:pt>
                <c:pt idx="605">
                  <c:v>2.9650000000000003</c:v>
                </c:pt>
                <c:pt idx="606">
                  <c:v>2.3199999999999998</c:v>
                </c:pt>
                <c:pt idx="607">
                  <c:v>2.29</c:v>
                </c:pt>
                <c:pt idx="608">
                  <c:v>3.1599999999999997</c:v>
                </c:pt>
                <c:pt idx="609">
                  <c:v>3.52</c:v>
                </c:pt>
                <c:pt idx="610">
                  <c:v>3.43</c:v>
                </c:pt>
                <c:pt idx="611">
                  <c:v>3.085</c:v>
                </c:pt>
                <c:pt idx="612">
                  <c:v>2.95</c:v>
                </c:pt>
                <c:pt idx="613">
                  <c:v>2.38</c:v>
                </c:pt>
                <c:pt idx="614">
                  <c:v>1.96</c:v>
                </c:pt>
                <c:pt idx="615">
                  <c:v>1.6900000000000002</c:v>
                </c:pt>
                <c:pt idx="616">
                  <c:v>1.915</c:v>
                </c:pt>
                <c:pt idx="617">
                  <c:v>2.2450000000000001</c:v>
                </c:pt>
                <c:pt idx="618">
                  <c:v>3.0249999999999999</c:v>
                </c:pt>
                <c:pt idx="619">
                  <c:v>2.4099999999999997</c:v>
                </c:pt>
                <c:pt idx="620">
                  <c:v>2.6799999999999997</c:v>
                </c:pt>
                <c:pt idx="621">
                  <c:v>2.8</c:v>
                </c:pt>
                <c:pt idx="622">
                  <c:v>3.19</c:v>
                </c:pt>
                <c:pt idx="623">
                  <c:v>2.74</c:v>
                </c:pt>
                <c:pt idx="624">
                  <c:v>2.665</c:v>
                </c:pt>
                <c:pt idx="625">
                  <c:v>2.9950000000000001</c:v>
                </c:pt>
                <c:pt idx="626">
                  <c:v>3.1749999999999998</c:v>
                </c:pt>
                <c:pt idx="627">
                  <c:v>3.31</c:v>
                </c:pt>
                <c:pt idx="628">
                  <c:v>2.875</c:v>
                </c:pt>
                <c:pt idx="629">
                  <c:v>2.335</c:v>
                </c:pt>
                <c:pt idx="630">
                  <c:v>1.885</c:v>
                </c:pt>
                <c:pt idx="631">
                  <c:v>1.7049999999999998</c:v>
                </c:pt>
                <c:pt idx="632">
                  <c:v>2.1550000000000002</c:v>
                </c:pt>
                <c:pt idx="633">
                  <c:v>2.2599999999999998</c:v>
                </c:pt>
                <c:pt idx="634">
                  <c:v>2.9350000000000001</c:v>
                </c:pt>
                <c:pt idx="635">
                  <c:v>3.2800000000000002</c:v>
                </c:pt>
                <c:pt idx="636">
                  <c:v>3.52</c:v>
                </c:pt>
                <c:pt idx="637">
                  <c:v>3.7449999999999997</c:v>
                </c:pt>
                <c:pt idx="638">
                  <c:v>3.31</c:v>
                </c:pt>
                <c:pt idx="639">
                  <c:v>2.86</c:v>
                </c:pt>
                <c:pt idx="640">
                  <c:v>2.665</c:v>
                </c:pt>
                <c:pt idx="641">
                  <c:v>3.4</c:v>
                </c:pt>
                <c:pt idx="642">
                  <c:v>4.0449999999999999</c:v>
                </c:pt>
                <c:pt idx="643">
                  <c:v>4.24</c:v>
                </c:pt>
                <c:pt idx="644">
                  <c:v>3.73</c:v>
                </c:pt>
                <c:pt idx="645">
                  <c:v>3.1749999999999998</c:v>
                </c:pt>
                <c:pt idx="646">
                  <c:v>3.61</c:v>
                </c:pt>
                <c:pt idx="647">
                  <c:v>4.18</c:v>
                </c:pt>
                <c:pt idx="648">
                  <c:v>2.4249999999999998</c:v>
                </c:pt>
                <c:pt idx="649">
                  <c:v>2.4700000000000002</c:v>
                </c:pt>
                <c:pt idx="650">
                  <c:v>2.7849999999999997</c:v>
                </c:pt>
                <c:pt idx="651">
                  <c:v>2.86</c:v>
                </c:pt>
                <c:pt idx="652">
                  <c:v>3.2199999999999998</c:v>
                </c:pt>
                <c:pt idx="653">
                  <c:v>3.4</c:v>
                </c:pt>
                <c:pt idx="654">
                  <c:v>3.73</c:v>
                </c:pt>
                <c:pt idx="655">
                  <c:v>4.42</c:v>
                </c:pt>
                <c:pt idx="656">
                  <c:v>4.2549999999999999</c:v>
                </c:pt>
                <c:pt idx="657">
                  <c:v>3.79</c:v>
                </c:pt>
                <c:pt idx="658">
                  <c:v>3.7</c:v>
                </c:pt>
                <c:pt idx="659">
                  <c:v>3.7449999999999997</c:v>
                </c:pt>
                <c:pt idx="660">
                  <c:v>3.6550000000000002</c:v>
                </c:pt>
                <c:pt idx="661">
                  <c:v>3.2199999999999998</c:v>
                </c:pt>
                <c:pt idx="662">
                  <c:v>3.1599999999999997</c:v>
                </c:pt>
                <c:pt idx="663">
                  <c:v>3.64</c:v>
                </c:pt>
                <c:pt idx="664">
                  <c:v>3.67</c:v>
                </c:pt>
                <c:pt idx="665">
                  <c:v>3.895</c:v>
                </c:pt>
                <c:pt idx="666">
                  <c:v>3.94</c:v>
                </c:pt>
                <c:pt idx="667">
                  <c:v>3.55</c:v>
                </c:pt>
                <c:pt idx="668">
                  <c:v>3.415</c:v>
                </c:pt>
                <c:pt idx="669">
                  <c:v>3.2800000000000002</c:v>
                </c:pt>
                <c:pt idx="670">
                  <c:v>2.9950000000000001</c:v>
                </c:pt>
                <c:pt idx="671">
                  <c:v>2.74</c:v>
                </c:pt>
                <c:pt idx="672">
                  <c:v>2.3950000000000005</c:v>
                </c:pt>
                <c:pt idx="673">
                  <c:v>2.6799999999999997</c:v>
                </c:pt>
                <c:pt idx="674">
                  <c:v>3.01</c:v>
                </c:pt>
                <c:pt idx="675">
                  <c:v>3.2949999999999999</c:v>
                </c:pt>
                <c:pt idx="676">
                  <c:v>3.3849999999999998</c:v>
                </c:pt>
                <c:pt idx="677">
                  <c:v>3.01</c:v>
                </c:pt>
                <c:pt idx="678">
                  <c:v>2.7250000000000001</c:v>
                </c:pt>
                <c:pt idx="679">
                  <c:v>2.6799999999999997</c:v>
                </c:pt>
                <c:pt idx="680">
                  <c:v>2.95</c:v>
                </c:pt>
                <c:pt idx="681">
                  <c:v>2.95</c:v>
                </c:pt>
                <c:pt idx="682">
                  <c:v>2.7700000000000005</c:v>
                </c:pt>
                <c:pt idx="683">
                  <c:v>2.56</c:v>
                </c:pt>
                <c:pt idx="684">
                  <c:v>2.2000000000000002</c:v>
                </c:pt>
                <c:pt idx="685">
                  <c:v>2.17</c:v>
                </c:pt>
                <c:pt idx="686">
                  <c:v>2.3050000000000002</c:v>
                </c:pt>
                <c:pt idx="687">
                  <c:v>2.02</c:v>
                </c:pt>
                <c:pt idx="688">
                  <c:v>1.615</c:v>
                </c:pt>
                <c:pt idx="689">
                  <c:v>1.5249999999999999</c:v>
                </c:pt>
                <c:pt idx="690">
                  <c:v>1.3</c:v>
                </c:pt>
                <c:pt idx="691">
                  <c:v>2.0949999999999998</c:v>
                </c:pt>
                <c:pt idx="692">
                  <c:v>2.3950000000000005</c:v>
                </c:pt>
                <c:pt idx="693">
                  <c:v>1.99</c:v>
                </c:pt>
                <c:pt idx="694">
                  <c:v>1.78</c:v>
                </c:pt>
                <c:pt idx="695">
                  <c:v>1.915</c:v>
                </c:pt>
                <c:pt idx="696">
                  <c:v>2.02</c:v>
                </c:pt>
                <c:pt idx="697">
                  <c:v>1.675</c:v>
                </c:pt>
                <c:pt idx="698">
                  <c:v>1.96</c:v>
                </c:pt>
                <c:pt idx="699">
                  <c:v>1.66</c:v>
                </c:pt>
                <c:pt idx="700">
                  <c:v>1.4950000000000001</c:v>
                </c:pt>
                <c:pt idx="701">
                  <c:v>2.02</c:v>
                </c:pt>
                <c:pt idx="702">
                  <c:v>2.23</c:v>
                </c:pt>
                <c:pt idx="703">
                  <c:v>2.23</c:v>
                </c:pt>
                <c:pt idx="704">
                  <c:v>1.7349999999999999</c:v>
                </c:pt>
                <c:pt idx="705">
                  <c:v>2.02</c:v>
                </c:pt>
                <c:pt idx="706">
                  <c:v>1.9750000000000001</c:v>
                </c:pt>
                <c:pt idx="707">
                  <c:v>2.5</c:v>
                </c:pt>
                <c:pt idx="708">
                  <c:v>2.335</c:v>
                </c:pt>
                <c:pt idx="709">
                  <c:v>1.9</c:v>
                </c:pt>
                <c:pt idx="710">
                  <c:v>1.6</c:v>
                </c:pt>
                <c:pt idx="711">
                  <c:v>1.63</c:v>
                </c:pt>
                <c:pt idx="712">
                  <c:v>1.5249999999999999</c:v>
                </c:pt>
                <c:pt idx="713">
                  <c:v>1.75</c:v>
                </c:pt>
                <c:pt idx="714">
                  <c:v>1.7349999999999999</c:v>
                </c:pt>
                <c:pt idx="715">
                  <c:v>1.1200000000000001</c:v>
                </c:pt>
                <c:pt idx="716">
                  <c:v>1.2099999999999997</c:v>
                </c:pt>
                <c:pt idx="717">
                  <c:v>2.0650000000000004</c:v>
                </c:pt>
                <c:pt idx="718">
                  <c:v>2.0949999999999998</c:v>
                </c:pt>
                <c:pt idx="719">
                  <c:v>1.675</c:v>
                </c:pt>
                <c:pt idx="720">
                  <c:v>1.78</c:v>
                </c:pt>
                <c:pt idx="721">
                  <c:v>1.72</c:v>
                </c:pt>
                <c:pt idx="722">
                  <c:v>1.825</c:v>
                </c:pt>
                <c:pt idx="723">
                  <c:v>1.1499999999999999</c:v>
                </c:pt>
                <c:pt idx="724">
                  <c:v>0.85</c:v>
                </c:pt>
                <c:pt idx="725">
                  <c:v>0.85</c:v>
                </c:pt>
                <c:pt idx="726">
                  <c:v>0.74500000000000011</c:v>
                </c:pt>
                <c:pt idx="727">
                  <c:v>0.6399999999999999</c:v>
                </c:pt>
                <c:pt idx="728">
                  <c:v>0.68500000000000005</c:v>
                </c:pt>
                <c:pt idx="729">
                  <c:v>1.105</c:v>
                </c:pt>
                <c:pt idx="730">
                  <c:v>1.5249999999999999</c:v>
                </c:pt>
                <c:pt idx="731">
                  <c:v>1.51</c:v>
                </c:pt>
                <c:pt idx="732">
                  <c:v>1.7049999999999998</c:v>
                </c:pt>
                <c:pt idx="733">
                  <c:v>1.645</c:v>
                </c:pt>
                <c:pt idx="734">
                  <c:v>1.1349999999999998</c:v>
                </c:pt>
                <c:pt idx="735">
                  <c:v>0.90999999999999981</c:v>
                </c:pt>
                <c:pt idx="736">
                  <c:v>0.6399999999999999</c:v>
                </c:pt>
                <c:pt idx="737">
                  <c:v>1.615</c:v>
                </c:pt>
                <c:pt idx="738">
                  <c:v>1.375</c:v>
                </c:pt>
                <c:pt idx="739">
                  <c:v>1.4200000000000002</c:v>
                </c:pt>
                <c:pt idx="740">
                  <c:v>1.345</c:v>
                </c:pt>
                <c:pt idx="741">
                  <c:v>1.2549999999999999</c:v>
                </c:pt>
                <c:pt idx="742">
                  <c:v>1.7650000000000001</c:v>
                </c:pt>
                <c:pt idx="743">
                  <c:v>2.0949999999999998</c:v>
                </c:pt>
                <c:pt idx="744">
                  <c:v>2.3050000000000002</c:v>
                </c:pt>
                <c:pt idx="745">
                  <c:v>2.5</c:v>
                </c:pt>
                <c:pt idx="746">
                  <c:v>2.3199999999999998</c:v>
                </c:pt>
                <c:pt idx="747">
                  <c:v>1.87</c:v>
                </c:pt>
                <c:pt idx="748">
                  <c:v>1.645</c:v>
                </c:pt>
                <c:pt idx="749">
                  <c:v>1.9</c:v>
                </c:pt>
                <c:pt idx="750">
                  <c:v>1.57</c:v>
                </c:pt>
                <c:pt idx="751">
                  <c:v>1.2849999999999997</c:v>
                </c:pt>
                <c:pt idx="752">
                  <c:v>2.14</c:v>
                </c:pt>
                <c:pt idx="753">
                  <c:v>1.885</c:v>
                </c:pt>
                <c:pt idx="754">
                  <c:v>2.0499999999999998</c:v>
                </c:pt>
                <c:pt idx="755">
                  <c:v>1.78</c:v>
                </c:pt>
                <c:pt idx="756">
                  <c:v>1.4200000000000002</c:v>
                </c:pt>
                <c:pt idx="757">
                  <c:v>1.2549999999999999</c:v>
                </c:pt>
                <c:pt idx="758">
                  <c:v>1.1650000000000003</c:v>
                </c:pt>
                <c:pt idx="759">
                  <c:v>1.0900000000000003</c:v>
                </c:pt>
                <c:pt idx="760">
                  <c:v>1.075</c:v>
                </c:pt>
                <c:pt idx="761">
                  <c:v>1.375</c:v>
                </c:pt>
                <c:pt idx="762">
                  <c:v>0.85</c:v>
                </c:pt>
                <c:pt idx="763">
                  <c:v>0.82000000000000006</c:v>
                </c:pt>
                <c:pt idx="764">
                  <c:v>1.2250000000000001</c:v>
                </c:pt>
                <c:pt idx="765">
                  <c:v>1.96</c:v>
                </c:pt>
                <c:pt idx="766">
                  <c:v>1.7049999999999998</c:v>
                </c:pt>
                <c:pt idx="767">
                  <c:v>0.94000000000000017</c:v>
                </c:pt>
                <c:pt idx="768">
                  <c:v>0.55000000000000004</c:v>
                </c:pt>
                <c:pt idx="769">
                  <c:v>0.47499999999999998</c:v>
                </c:pt>
                <c:pt idx="770">
                  <c:v>0.59500000000000008</c:v>
                </c:pt>
                <c:pt idx="771">
                  <c:v>0.47499999999999998</c:v>
                </c:pt>
                <c:pt idx="772">
                  <c:v>0.32500000000000001</c:v>
                </c:pt>
                <c:pt idx="773">
                  <c:v>0.25</c:v>
                </c:pt>
                <c:pt idx="774">
                  <c:v>0.25</c:v>
                </c:pt>
                <c:pt idx="775">
                  <c:v>0.25</c:v>
                </c:pt>
                <c:pt idx="776">
                  <c:v>0.59500000000000008</c:v>
                </c:pt>
                <c:pt idx="777">
                  <c:v>0.42999999999999988</c:v>
                </c:pt>
                <c:pt idx="778">
                  <c:v>0.50499999999999989</c:v>
                </c:pt>
                <c:pt idx="779">
                  <c:v>0.25</c:v>
                </c:pt>
                <c:pt idx="780">
                  <c:v>0.6399999999999999</c:v>
                </c:pt>
                <c:pt idx="781">
                  <c:v>0.67000000000000015</c:v>
                </c:pt>
                <c:pt idx="782">
                  <c:v>0.30999999999999978</c:v>
                </c:pt>
                <c:pt idx="783">
                  <c:v>0.25</c:v>
                </c:pt>
                <c:pt idx="784">
                  <c:v>0.25</c:v>
                </c:pt>
                <c:pt idx="785">
                  <c:v>0.25</c:v>
                </c:pt>
                <c:pt idx="786">
                  <c:v>0.25</c:v>
                </c:pt>
                <c:pt idx="787">
                  <c:v>0.25</c:v>
                </c:pt>
                <c:pt idx="788">
                  <c:v>0.25</c:v>
                </c:pt>
                <c:pt idx="789">
                  <c:v>0.25</c:v>
                </c:pt>
                <c:pt idx="790">
                  <c:v>0.25</c:v>
                </c:pt>
                <c:pt idx="791">
                  <c:v>0.25</c:v>
                </c:pt>
                <c:pt idx="792">
                  <c:v>0.34000000000000019</c:v>
                </c:pt>
                <c:pt idx="793">
                  <c:v>0.25</c:v>
                </c:pt>
                <c:pt idx="794">
                  <c:v>0.71500000000000019</c:v>
                </c:pt>
                <c:pt idx="795">
                  <c:v>0.41499999999999992</c:v>
                </c:pt>
                <c:pt idx="796">
                  <c:v>0.25</c:v>
                </c:pt>
                <c:pt idx="797">
                  <c:v>0.25</c:v>
                </c:pt>
                <c:pt idx="798">
                  <c:v>0.25</c:v>
                </c:pt>
                <c:pt idx="799">
                  <c:v>0.25</c:v>
                </c:pt>
                <c:pt idx="800">
                  <c:v>0.25</c:v>
                </c:pt>
                <c:pt idx="801">
                  <c:v>0.25</c:v>
                </c:pt>
                <c:pt idx="802">
                  <c:v>0.25</c:v>
                </c:pt>
                <c:pt idx="803">
                  <c:v>0.25</c:v>
                </c:pt>
                <c:pt idx="804">
                  <c:v>0.4</c:v>
                </c:pt>
                <c:pt idx="805">
                  <c:v>0.25</c:v>
                </c:pt>
                <c:pt idx="806">
                  <c:v>0.25</c:v>
                </c:pt>
                <c:pt idx="807">
                  <c:v>0.25</c:v>
                </c:pt>
                <c:pt idx="808">
                  <c:v>0.25</c:v>
                </c:pt>
                <c:pt idx="809">
                  <c:v>0.25</c:v>
                </c:pt>
                <c:pt idx="810">
                  <c:v>0.25</c:v>
                </c:pt>
                <c:pt idx="811">
                  <c:v>0.25</c:v>
                </c:pt>
                <c:pt idx="812">
                  <c:v>0.25</c:v>
                </c:pt>
                <c:pt idx="813">
                  <c:v>0.25</c:v>
                </c:pt>
                <c:pt idx="814">
                  <c:v>0.25</c:v>
                </c:pt>
                <c:pt idx="815">
                  <c:v>0.25</c:v>
                </c:pt>
                <c:pt idx="816">
                  <c:v>0.25</c:v>
                </c:pt>
                <c:pt idx="817">
                  <c:v>0.25</c:v>
                </c:pt>
                <c:pt idx="818">
                  <c:v>0.25</c:v>
                </c:pt>
                <c:pt idx="819">
                  <c:v>0.25</c:v>
                </c:pt>
                <c:pt idx="820">
                  <c:v>0.25</c:v>
                </c:pt>
                <c:pt idx="821">
                  <c:v>0.25</c:v>
                </c:pt>
                <c:pt idx="822">
                  <c:v>0.25</c:v>
                </c:pt>
                <c:pt idx="823">
                  <c:v>0.25</c:v>
                </c:pt>
                <c:pt idx="824">
                  <c:v>0.25</c:v>
                </c:pt>
                <c:pt idx="825">
                  <c:v>0.25</c:v>
                </c:pt>
                <c:pt idx="826">
                  <c:v>0.25</c:v>
                </c:pt>
                <c:pt idx="827">
                  <c:v>0.25</c:v>
                </c:pt>
                <c:pt idx="828">
                  <c:v>0.25</c:v>
                </c:pt>
                <c:pt idx="829">
                  <c:v>0.25</c:v>
                </c:pt>
                <c:pt idx="830">
                  <c:v>0.47499999999999998</c:v>
                </c:pt>
                <c:pt idx="831">
                  <c:v>0.57999999999999985</c:v>
                </c:pt>
                <c:pt idx="832">
                  <c:v>0.67000000000000015</c:v>
                </c:pt>
                <c:pt idx="833">
                  <c:v>0.25</c:v>
                </c:pt>
                <c:pt idx="834">
                  <c:v>0.25</c:v>
                </c:pt>
                <c:pt idx="835">
                  <c:v>0.25</c:v>
                </c:pt>
                <c:pt idx="836">
                  <c:v>0.25</c:v>
                </c:pt>
                <c:pt idx="837">
                  <c:v>0.25</c:v>
                </c:pt>
                <c:pt idx="838">
                  <c:v>0.25</c:v>
                </c:pt>
                <c:pt idx="839">
                  <c:v>0.25</c:v>
                </c:pt>
                <c:pt idx="840">
                  <c:v>0.25</c:v>
                </c:pt>
                <c:pt idx="841">
                  <c:v>0.25</c:v>
                </c:pt>
                <c:pt idx="842">
                  <c:v>0.38499999999999979</c:v>
                </c:pt>
                <c:pt idx="843">
                  <c:v>0.34000000000000019</c:v>
                </c:pt>
                <c:pt idx="844">
                  <c:v>0.25</c:v>
                </c:pt>
                <c:pt idx="845">
                  <c:v>0.25</c:v>
                </c:pt>
                <c:pt idx="846">
                  <c:v>0.25</c:v>
                </c:pt>
                <c:pt idx="847">
                  <c:v>0.25</c:v>
                </c:pt>
                <c:pt idx="848">
                  <c:v>0.25</c:v>
                </c:pt>
                <c:pt idx="849">
                  <c:v>0.25</c:v>
                </c:pt>
                <c:pt idx="850">
                  <c:v>0.25</c:v>
                </c:pt>
                <c:pt idx="851">
                  <c:v>0.25</c:v>
                </c:pt>
                <c:pt idx="852">
                  <c:v>0.25</c:v>
                </c:pt>
                <c:pt idx="853">
                  <c:v>0.25</c:v>
                </c:pt>
                <c:pt idx="854">
                  <c:v>0.25</c:v>
                </c:pt>
                <c:pt idx="855">
                  <c:v>0.25</c:v>
                </c:pt>
                <c:pt idx="856">
                  <c:v>0.25</c:v>
                </c:pt>
                <c:pt idx="857">
                  <c:v>0.25</c:v>
                </c:pt>
                <c:pt idx="858">
                  <c:v>0.25</c:v>
                </c:pt>
                <c:pt idx="859">
                  <c:v>0.30999999999999978</c:v>
                </c:pt>
                <c:pt idx="860">
                  <c:v>0.34000000000000019</c:v>
                </c:pt>
                <c:pt idx="861">
                  <c:v>0.25</c:v>
                </c:pt>
                <c:pt idx="862">
                  <c:v>0.25</c:v>
                </c:pt>
                <c:pt idx="863">
                  <c:v>0.25</c:v>
                </c:pt>
                <c:pt idx="864">
                  <c:v>0.25</c:v>
                </c:pt>
                <c:pt idx="865">
                  <c:v>0.25</c:v>
                </c:pt>
                <c:pt idx="866">
                  <c:v>0.25</c:v>
                </c:pt>
                <c:pt idx="867">
                  <c:v>0.25</c:v>
                </c:pt>
                <c:pt idx="868">
                  <c:v>0.2950000000000001</c:v>
                </c:pt>
                <c:pt idx="869">
                  <c:v>0.44500000000000012</c:v>
                </c:pt>
                <c:pt idx="870">
                  <c:v>0.6100000000000001</c:v>
                </c:pt>
                <c:pt idx="871">
                  <c:v>0.625</c:v>
                </c:pt>
                <c:pt idx="872">
                  <c:v>0.25</c:v>
                </c:pt>
                <c:pt idx="873">
                  <c:v>0.25</c:v>
                </c:pt>
                <c:pt idx="874">
                  <c:v>0.25</c:v>
                </c:pt>
                <c:pt idx="875">
                  <c:v>0.25</c:v>
                </c:pt>
                <c:pt idx="876">
                  <c:v>0.25</c:v>
                </c:pt>
                <c:pt idx="877">
                  <c:v>0.25</c:v>
                </c:pt>
                <c:pt idx="878">
                  <c:v>0.25</c:v>
                </c:pt>
                <c:pt idx="879">
                  <c:v>0.25</c:v>
                </c:pt>
                <c:pt idx="880">
                  <c:v>0.80499999999999994</c:v>
                </c:pt>
                <c:pt idx="881">
                  <c:v>0.79000000000000026</c:v>
                </c:pt>
                <c:pt idx="882">
                  <c:v>0.82000000000000006</c:v>
                </c:pt>
                <c:pt idx="883">
                  <c:v>0.74500000000000011</c:v>
                </c:pt>
                <c:pt idx="884">
                  <c:v>0.46000000000000008</c:v>
                </c:pt>
                <c:pt idx="885">
                  <c:v>0.25</c:v>
                </c:pt>
                <c:pt idx="886">
                  <c:v>0.59500000000000008</c:v>
                </c:pt>
                <c:pt idx="887">
                  <c:v>0.6399999999999999</c:v>
                </c:pt>
                <c:pt idx="888">
                  <c:v>0.37000000000000011</c:v>
                </c:pt>
                <c:pt idx="889">
                  <c:v>0.68500000000000005</c:v>
                </c:pt>
                <c:pt idx="890">
                  <c:v>0.59500000000000008</c:v>
                </c:pt>
                <c:pt idx="891">
                  <c:v>0.74500000000000011</c:v>
                </c:pt>
                <c:pt idx="892">
                  <c:v>0.68500000000000005</c:v>
                </c:pt>
                <c:pt idx="893">
                  <c:v>0.86500000000000021</c:v>
                </c:pt>
                <c:pt idx="894">
                  <c:v>0.89500000000000002</c:v>
                </c:pt>
                <c:pt idx="895">
                  <c:v>1.27</c:v>
                </c:pt>
                <c:pt idx="896">
                  <c:v>1.1950000000000001</c:v>
                </c:pt>
                <c:pt idx="897">
                  <c:v>1.3150000000000002</c:v>
                </c:pt>
                <c:pt idx="898">
                  <c:v>1.345</c:v>
                </c:pt>
                <c:pt idx="899">
                  <c:v>1.075</c:v>
                </c:pt>
                <c:pt idx="900">
                  <c:v>1.075</c:v>
                </c:pt>
                <c:pt idx="901">
                  <c:v>0.88</c:v>
                </c:pt>
                <c:pt idx="902">
                  <c:v>1.2099999999999997</c:v>
                </c:pt>
                <c:pt idx="903">
                  <c:v>1.1200000000000001</c:v>
                </c:pt>
                <c:pt idx="904">
                  <c:v>0.90999999999999981</c:v>
                </c:pt>
                <c:pt idx="905">
                  <c:v>0.85</c:v>
                </c:pt>
                <c:pt idx="906">
                  <c:v>0.57999999999999985</c:v>
                </c:pt>
                <c:pt idx="907">
                  <c:v>0.56499999999999995</c:v>
                </c:pt>
                <c:pt idx="908">
                  <c:v>0.75999999999999979</c:v>
                </c:pt>
                <c:pt idx="909">
                  <c:v>1.0299999999999998</c:v>
                </c:pt>
                <c:pt idx="910">
                  <c:v>1.1650000000000003</c:v>
                </c:pt>
                <c:pt idx="911">
                  <c:v>0.92500000000000004</c:v>
                </c:pt>
                <c:pt idx="912">
                  <c:v>0.98499999999999976</c:v>
                </c:pt>
                <c:pt idx="913">
                  <c:v>1.0449999999999999</c:v>
                </c:pt>
                <c:pt idx="914">
                  <c:v>0.97000000000000008</c:v>
                </c:pt>
                <c:pt idx="915">
                  <c:v>1.27</c:v>
                </c:pt>
                <c:pt idx="916">
                  <c:v>1.3</c:v>
                </c:pt>
                <c:pt idx="917">
                  <c:v>1.2849999999999997</c:v>
                </c:pt>
                <c:pt idx="918">
                  <c:v>1.57</c:v>
                </c:pt>
                <c:pt idx="919">
                  <c:v>1.18</c:v>
                </c:pt>
                <c:pt idx="920">
                  <c:v>0.77500000000000002</c:v>
                </c:pt>
                <c:pt idx="921">
                  <c:v>0.83499999999999974</c:v>
                </c:pt>
                <c:pt idx="922">
                  <c:v>0.80499999999999994</c:v>
                </c:pt>
                <c:pt idx="923">
                  <c:v>0.80499999999999994</c:v>
                </c:pt>
                <c:pt idx="924">
                  <c:v>0.68500000000000005</c:v>
                </c:pt>
                <c:pt idx="925">
                  <c:v>0.625</c:v>
                </c:pt>
                <c:pt idx="926">
                  <c:v>0.7</c:v>
                </c:pt>
                <c:pt idx="927">
                  <c:v>1.2849999999999997</c:v>
                </c:pt>
                <c:pt idx="928">
                  <c:v>1.1650000000000003</c:v>
                </c:pt>
                <c:pt idx="929">
                  <c:v>1.3150000000000002</c:v>
                </c:pt>
                <c:pt idx="930">
                  <c:v>1.1349999999999998</c:v>
                </c:pt>
                <c:pt idx="931">
                  <c:v>1.2250000000000001</c:v>
                </c:pt>
                <c:pt idx="932">
                  <c:v>1.45</c:v>
                </c:pt>
                <c:pt idx="933">
                  <c:v>1.2549999999999999</c:v>
                </c:pt>
                <c:pt idx="934">
                  <c:v>0.82000000000000006</c:v>
                </c:pt>
                <c:pt idx="935">
                  <c:v>0.85</c:v>
                </c:pt>
                <c:pt idx="936">
                  <c:v>1.3</c:v>
                </c:pt>
                <c:pt idx="937">
                  <c:v>1.5249999999999999</c:v>
                </c:pt>
                <c:pt idx="938">
                  <c:v>1.7950000000000002</c:v>
                </c:pt>
                <c:pt idx="939">
                  <c:v>2.0499999999999998</c:v>
                </c:pt>
                <c:pt idx="940">
                  <c:v>1.855</c:v>
                </c:pt>
                <c:pt idx="941">
                  <c:v>1.75</c:v>
                </c:pt>
                <c:pt idx="942">
                  <c:v>1.375</c:v>
                </c:pt>
                <c:pt idx="943">
                  <c:v>1.75</c:v>
                </c:pt>
                <c:pt idx="944">
                  <c:v>2.08</c:v>
                </c:pt>
                <c:pt idx="945">
                  <c:v>1.9450000000000001</c:v>
                </c:pt>
                <c:pt idx="946">
                  <c:v>1.885</c:v>
                </c:pt>
                <c:pt idx="947">
                  <c:v>1.8099999999999998</c:v>
                </c:pt>
                <c:pt idx="948">
                  <c:v>2.0350000000000001</c:v>
                </c:pt>
                <c:pt idx="949">
                  <c:v>1.75</c:v>
                </c:pt>
                <c:pt idx="950">
                  <c:v>1.7650000000000001</c:v>
                </c:pt>
                <c:pt idx="951">
                  <c:v>2.02</c:v>
                </c:pt>
                <c:pt idx="952">
                  <c:v>2.2749999999999999</c:v>
                </c:pt>
                <c:pt idx="953">
                  <c:v>2.3650000000000002</c:v>
                </c:pt>
                <c:pt idx="954">
                  <c:v>2.3650000000000002</c:v>
                </c:pt>
                <c:pt idx="955">
                  <c:v>2.14</c:v>
                </c:pt>
                <c:pt idx="956">
                  <c:v>2.2450000000000001</c:v>
                </c:pt>
                <c:pt idx="957">
                  <c:v>2.2599999999999998</c:v>
                </c:pt>
                <c:pt idx="958">
                  <c:v>2.3050000000000002</c:v>
                </c:pt>
                <c:pt idx="959">
                  <c:v>2.1849999999999996</c:v>
                </c:pt>
                <c:pt idx="960">
                  <c:v>2.2749999999999999</c:v>
                </c:pt>
                <c:pt idx="961">
                  <c:v>1.99</c:v>
                </c:pt>
                <c:pt idx="962">
                  <c:v>1.675</c:v>
                </c:pt>
                <c:pt idx="963">
                  <c:v>2.1849999999999996</c:v>
                </c:pt>
                <c:pt idx="964">
                  <c:v>1.84</c:v>
                </c:pt>
                <c:pt idx="965">
                  <c:v>1.9750000000000001</c:v>
                </c:pt>
                <c:pt idx="966">
                  <c:v>2.4549999999999996</c:v>
                </c:pt>
                <c:pt idx="967">
                  <c:v>2.335</c:v>
                </c:pt>
                <c:pt idx="968">
                  <c:v>2.0949999999999998</c:v>
                </c:pt>
                <c:pt idx="969">
                  <c:v>2.4099999999999997</c:v>
                </c:pt>
                <c:pt idx="970">
                  <c:v>2.62</c:v>
                </c:pt>
                <c:pt idx="971">
                  <c:v>2.86</c:v>
                </c:pt>
                <c:pt idx="972">
                  <c:v>2.9350000000000001</c:v>
                </c:pt>
                <c:pt idx="973">
                  <c:v>2.9049999999999998</c:v>
                </c:pt>
                <c:pt idx="974">
                  <c:v>2.665</c:v>
                </c:pt>
                <c:pt idx="975">
                  <c:v>2.2450000000000001</c:v>
                </c:pt>
                <c:pt idx="976">
                  <c:v>2.17</c:v>
                </c:pt>
                <c:pt idx="977">
                  <c:v>2.2599999999999998</c:v>
                </c:pt>
                <c:pt idx="978">
                  <c:v>2.17</c:v>
                </c:pt>
                <c:pt idx="979">
                  <c:v>2.7549999999999999</c:v>
                </c:pt>
                <c:pt idx="980">
                  <c:v>2.875</c:v>
                </c:pt>
                <c:pt idx="981">
                  <c:v>2.125</c:v>
                </c:pt>
                <c:pt idx="982">
                  <c:v>2.1849999999999996</c:v>
                </c:pt>
                <c:pt idx="983">
                  <c:v>2.6049999999999995</c:v>
                </c:pt>
                <c:pt idx="984">
                  <c:v>2.2450000000000001</c:v>
                </c:pt>
                <c:pt idx="985">
                  <c:v>2.335</c:v>
                </c:pt>
                <c:pt idx="986">
                  <c:v>2.4849999999999999</c:v>
                </c:pt>
                <c:pt idx="987">
                  <c:v>2.6950000000000003</c:v>
                </c:pt>
                <c:pt idx="988">
                  <c:v>3.2050000000000001</c:v>
                </c:pt>
                <c:pt idx="989">
                  <c:v>3.085</c:v>
                </c:pt>
                <c:pt idx="990">
                  <c:v>2.665</c:v>
                </c:pt>
                <c:pt idx="991">
                  <c:v>2.3199999999999998</c:v>
                </c:pt>
                <c:pt idx="992">
                  <c:v>2.08</c:v>
                </c:pt>
                <c:pt idx="993">
                  <c:v>1.9750000000000001</c:v>
                </c:pt>
                <c:pt idx="994">
                  <c:v>1.7650000000000001</c:v>
                </c:pt>
                <c:pt idx="995">
                  <c:v>2.335</c:v>
                </c:pt>
                <c:pt idx="996">
                  <c:v>2.8450000000000002</c:v>
                </c:pt>
                <c:pt idx="997">
                  <c:v>2.7849999999999997</c:v>
                </c:pt>
                <c:pt idx="998">
                  <c:v>2.62</c:v>
                </c:pt>
                <c:pt idx="999">
                  <c:v>2.89</c:v>
                </c:pt>
                <c:pt idx="1000">
                  <c:v>2.65</c:v>
                </c:pt>
                <c:pt idx="1001">
                  <c:v>1.4349999999999998</c:v>
                </c:pt>
                <c:pt idx="1002">
                  <c:v>1.885</c:v>
                </c:pt>
                <c:pt idx="1003">
                  <c:v>2.17</c:v>
                </c:pt>
                <c:pt idx="1004">
                  <c:v>2.23</c:v>
                </c:pt>
                <c:pt idx="1005">
                  <c:v>1.96</c:v>
                </c:pt>
                <c:pt idx="1006">
                  <c:v>1.7049999999999998</c:v>
                </c:pt>
                <c:pt idx="1007">
                  <c:v>1.72</c:v>
                </c:pt>
                <c:pt idx="1008">
                  <c:v>2.14</c:v>
                </c:pt>
                <c:pt idx="1009">
                  <c:v>2.3650000000000002</c:v>
                </c:pt>
                <c:pt idx="1010">
                  <c:v>1.825</c:v>
                </c:pt>
                <c:pt idx="1011">
                  <c:v>2.0650000000000004</c:v>
                </c:pt>
                <c:pt idx="1012">
                  <c:v>2.1849999999999996</c:v>
                </c:pt>
                <c:pt idx="1013">
                  <c:v>2.3650000000000002</c:v>
                </c:pt>
                <c:pt idx="1014">
                  <c:v>2.8450000000000002</c:v>
                </c:pt>
                <c:pt idx="1015">
                  <c:v>2.95</c:v>
                </c:pt>
                <c:pt idx="1016">
                  <c:v>2.9650000000000003</c:v>
                </c:pt>
                <c:pt idx="1017">
                  <c:v>2.62</c:v>
                </c:pt>
                <c:pt idx="1018">
                  <c:v>2.665</c:v>
                </c:pt>
                <c:pt idx="1019">
                  <c:v>2.3650000000000002</c:v>
                </c:pt>
                <c:pt idx="1020">
                  <c:v>2.5</c:v>
                </c:pt>
                <c:pt idx="1021">
                  <c:v>2.7250000000000001</c:v>
                </c:pt>
                <c:pt idx="1022">
                  <c:v>2.875</c:v>
                </c:pt>
                <c:pt idx="1023">
                  <c:v>3.01</c:v>
                </c:pt>
                <c:pt idx="1024">
                  <c:v>2.35</c:v>
                </c:pt>
                <c:pt idx="1025">
                  <c:v>1.93</c:v>
                </c:pt>
                <c:pt idx="1026">
                  <c:v>2.1550000000000002</c:v>
                </c:pt>
                <c:pt idx="1027">
                  <c:v>2.5750000000000002</c:v>
                </c:pt>
                <c:pt idx="1028">
                  <c:v>2.56</c:v>
                </c:pt>
                <c:pt idx="1029">
                  <c:v>1.915</c:v>
                </c:pt>
                <c:pt idx="1030">
                  <c:v>1.585</c:v>
                </c:pt>
                <c:pt idx="1031">
                  <c:v>2.14</c:v>
                </c:pt>
                <c:pt idx="1032">
                  <c:v>2.125</c:v>
                </c:pt>
                <c:pt idx="1033">
                  <c:v>2.11</c:v>
                </c:pt>
                <c:pt idx="1034">
                  <c:v>2.4849999999999999</c:v>
                </c:pt>
                <c:pt idx="1035">
                  <c:v>2.5150000000000001</c:v>
                </c:pt>
                <c:pt idx="1036">
                  <c:v>2.7849999999999997</c:v>
                </c:pt>
                <c:pt idx="1037">
                  <c:v>3.1</c:v>
                </c:pt>
                <c:pt idx="1038">
                  <c:v>3.3400000000000003</c:v>
                </c:pt>
                <c:pt idx="1039">
                  <c:v>2.9049999999999998</c:v>
                </c:pt>
                <c:pt idx="1040">
                  <c:v>2.9350000000000001</c:v>
                </c:pt>
                <c:pt idx="1041">
                  <c:v>3.0549999999999997</c:v>
                </c:pt>
                <c:pt idx="1042">
                  <c:v>2.9200000000000004</c:v>
                </c:pt>
                <c:pt idx="1043">
                  <c:v>2.4849999999999999</c:v>
                </c:pt>
                <c:pt idx="1044">
                  <c:v>2.5299999999999998</c:v>
                </c:pt>
                <c:pt idx="1045">
                  <c:v>2.9200000000000004</c:v>
                </c:pt>
                <c:pt idx="1046">
                  <c:v>3.1300000000000003</c:v>
                </c:pt>
                <c:pt idx="1047">
                  <c:v>2.9799999999999995</c:v>
                </c:pt>
                <c:pt idx="1048">
                  <c:v>2.4700000000000002</c:v>
                </c:pt>
                <c:pt idx="1049">
                  <c:v>2.9650000000000003</c:v>
                </c:pt>
                <c:pt idx="1050">
                  <c:v>2.8</c:v>
                </c:pt>
                <c:pt idx="1051">
                  <c:v>3.01</c:v>
                </c:pt>
                <c:pt idx="1052">
                  <c:v>3.04</c:v>
                </c:pt>
                <c:pt idx="1053">
                  <c:v>3.0249999999999999</c:v>
                </c:pt>
                <c:pt idx="1054">
                  <c:v>3.25</c:v>
                </c:pt>
                <c:pt idx="1055">
                  <c:v>3.43</c:v>
                </c:pt>
                <c:pt idx="1056">
                  <c:v>3.6850000000000001</c:v>
                </c:pt>
                <c:pt idx="1057">
                  <c:v>4.1050000000000004</c:v>
                </c:pt>
                <c:pt idx="1058">
                  <c:v>4.2699999999999996</c:v>
                </c:pt>
                <c:pt idx="1059">
                  <c:v>4.45</c:v>
                </c:pt>
                <c:pt idx="1060">
                  <c:v>4.3600000000000003</c:v>
                </c:pt>
                <c:pt idx="1061">
                  <c:v>4.165</c:v>
                </c:pt>
                <c:pt idx="1062">
                  <c:v>3.73</c:v>
                </c:pt>
                <c:pt idx="1063">
                  <c:v>3.5649999999999999</c:v>
                </c:pt>
                <c:pt idx="1064">
                  <c:v>3.46</c:v>
                </c:pt>
                <c:pt idx="1065">
                  <c:v>2.9799999999999995</c:v>
                </c:pt>
                <c:pt idx="1066">
                  <c:v>2.86</c:v>
                </c:pt>
                <c:pt idx="1067">
                  <c:v>2.3199999999999998</c:v>
                </c:pt>
                <c:pt idx="1068">
                  <c:v>2.02</c:v>
                </c:pt>
                <c:pt idx="1069">
                  <c:v>2.02</c:v>
                </c:pt>
                <c:pt idx="1070">
                  <c:v>1.675</c:v>
                </c:pt>
                <c:pt idx="1071">
                  <c:v>1.27</c:v>
                </c:pt>
                <c:pt idx="1072">
                  <c:v>1.6900000000000002</c:v>
                </c:pt>
                <c:pt idx="1073">
                  <c:v>1.4950000000000001</c:v>
                </c:pt>
                <c:pt idx="1074">
                  <c:v>2.11</c:v>
                </c:pt>
                <c:pt idx="1075">
                  <c:v>2.0049999999999999</c:v>
                </c:pt>
                <c:pt idx="1076">
                  <c:v>2.3199999999999998</c:v>
                </c:pt>
                <c:pt idx="1077">
                  <c:v>3.3849999999999998</c:v>
                </c:pt>
                <c:pt idx="1078">
                  <c:v>3.5949999999999998</c:v>
                </c:pt>
                <c:pt idx="1079">
                  <c:v>3.5949999999999998</c:v>
                </c:pt>
                <c:pt idx="1080">
                  <c:v>2.9650000000000003</c:v>
                </c:pt>
                <c:pt idx="1081">
                  <c:v>2.8299999999999996</c:v>
                </c:pt>
                <c:pt idx="1082">
                  <c:v>2.7250000000000001</c:v>
                </c:pt>
                <c:pt idx="1083">
                  <c:v>2.44</c:v>
                </c:pt>
                <c:pt idx="1084">
                  <c:v>2.35</c:v>
                </c:pt>
                <c:pt idx="1085">
                  <c:v>2.3199999999999998</c:v>
                </c:pt>
                <c:pt idx="1086">
                  <c:v>2.38</c:v>
                </c:pt>
                <c:pt idx="1087">
                  <c:v>2.14</c:v>
                </c:pt>
                <c:pt idx="1088">
                  <c:v>2.0949999999999998</c:v>
                </c:pt>
                <c:pt idx="1089">
                  <c:v>1.825</c:v>
                </c:pt>
                <c:pt idx="1090">
                  <c:v>1.87</c:v>
                </c:pt>
                <c:pt idx="1091">
                  <c:v>1.75</c:v>
                </c:pt>
                <c:pt idx="1092">
                  <c:v>1.93</c:v>
                </c:pt>
                <c:pt idx="1093">
                  <c:v>1.87</c:v>
                </c:pt>
                <c:pt idx="1094">
                  <c:v>0.95499999999999996</c:v>
                </c:pt>
                <c:pt idx="1095">
                  <c:v>0.88</c:v>
                </c:pt>
                <c:pt idx="1096">
                  <c:v>1.0449999999999999</c:v>
                </c:pt>
                <c:pt idx="1097">
                  <c:v>1.84</c:v>
                </c:pt>
                <c:pt idx="1098">
                  <c:v>1.375</c:v>
                </c:pt>
                <c:pt idx="1099">
                  <c:v>1.48</c:v>
                </c:pt>
                <c:pt idx="1100">
                  <c:v>1.1349999999999998</c:v>
                </c:pt>
                <c:pt idx="1101">
                  <c:v>0.55000000000000004</c:v>
                </c:pt>
                <c:pt idx="1102">
                  <c:v>0.67000000000000015</c:v>
                </c:pt>
                <c:pt idx="1103">
                  <c:v>0.25</c:v>
                </c:pt>
                <c:pt idx="1104">
                  <c:v>0.6100000000000001</c:v>
                </c:pt>
                <c:pt idx="1105">
                  <c:v>0.74500000000000011</c:v>
                </c:pt>
                <c:pt idx="1106">
                  <c:v>0.6399999999999999</c:v>
                </c:pt>
                <c:pt idx="1107">
                  <c:v>0.74500000000000011</c:v>
                </c:pt>
                <c:pt idx="1108">
                  <c:v>0.72999999999999987</c:v>
                </c:pt>
                <c:pt idx="1109">
                  <c:v>0.72999999999999987</c:v>
                </c:pt>
                <c:pt idx="1110">
                  <c:v>0.42999999999999988</c:v>
                </c:pt>
                <c:pt idx="1111">
                  <c:v>0.25</c:v>
                </c:pt>
                <c:pt idx="1112">
                  <c:v>0.25</c:v>
                </c:pt>
                <c:pt idx="1113">
                  <c:v>0.25</c:v>
                </c:pt>
                <c:pt idx="1114">
                  <c:v>0.25</c:v>
                </c:pt>
                <c:pt idx="1115">
                  <c:v>0.38499999999999979</c:v>
                </c:pt>
                <c:pt idx="1116">
                  <c:v>0.41499999999999992</c:v>
                </c:pt>
                <c:pt idx="1117">
                  <c:v>0.89500000000000002</c:v>
                </c:pt>
                <c:pt idx="1118">
                  <c:v>1.075</c:v>
                </c:pt>
                <c:pt idx="1119">
                  <c:v>0.46000000000000008</c:v>
                </c:pt>
                <c:pt idx="1120">
                  <c:v>0.25</c:v>
                </c:pt>
                <c:pt idx="1121">
                  <c:v>0.25</c:v>
                </c:pt>
                <c:pt idx="1122">
                  <c:v>0.6100000000000001</c:v>
                </c:pt>
                <c:pt idx="1123">
                  <c:v>0.46000000000000008</c:v>
                </c:pt>
                <c:pt idx="1124">
                  <c:v>0.50499999999999989</c:v>
                </c:pt>
                <c:pt idx="1125">
                  <c:v>0.6100000000000001</c:v>
                </c:pt>
                <c:pt idx="1126">
                  <c:v>0.6399999999999999</c:v>
                </c:pt>
                <c:pt idx="1127">
                  <c:v>0.65499999999999992</c:v>
                </c:pt>
                <c:pt idx="1128">
                  <c:v>0.38499999999999979</c:v>
                </c:pt>
                <c:pt idx="1129">
                  <c:v>0.25</c:v>
                </c:pt>
                <c:pt idx="1130">
                  <c:v>0.25</c:v>
                </c:pt>
                <c:pt idx="1131">
                  <c:v>0.25</c:v>
                </c:pt>
                <c:pt idx="1132">
                  <c:v>0.30999999999999978</c:v>
                </c:pt>
                <c:pt idx="1133">
                  <c:v>0.25</c:v>
                </c:pt>
                <c:pt idx="1134">
                  <c:v>0.25</c:v>
                </c:pt>
                <c:pt idx="1135">
                  <c:v>0.25</c:v>
                </c:pt>
                <c:pt idx="1136">
                  <c:v>0.7</c:v>
                </c:pt>
                <c:pt idx="1137">
                  <c:v>0.95499999999999996</c:v>
                </c:pt>
                <c:pt idx="1138">
                  <c:v>0.75999999999999979</c:v>
                </c:pt>
                <c:pt idx="1139">
                  <c:v>0.65499999999999992</c:v>
                </c:pt>
                <c:pt idx="1140">
                  <c:v>0.7</c:v>
                </c:pt>
                <c:pt idx="1141">
                  <c:v>0.44500000000000012</c:v>
                </c:pt>
                <c:pt idx="1142">
                  <c:v>0.34000000000000019</c:v>
                </c:pt>
                <c:pt idx="1143">
                  <c:v>0.25</c:v>
                </c:pt>
                <c:pt idx="1144">
                  <c:v>0.25</c:v>
                </c:pt>
                <c:pt idx="1145">
                  <c:v>0.25</c:v>
                </c:pt>
                <c:pt idx="1146">
                  <c:v>0.25</c:v>
                </c:pt>
                <c:pt idx="1147">
                  <c:v>0.25</c:v>
                </c:pt>
                <c:pt idx="1148">
                  <c:v>0.25</c:v>
                </c:pt>
                <c:pt idx="1149">
                  <c:v>0.25</c:v>
                </c:pt>
                <c:pt idx="1150">
                  <c:v>0.25</c:v>
                </c:pt>
                <c:pt idx="1151">
                  <c:v>0.25</c:v>
                </c:pt>
                <c:pt idx="1152">
                  <c:v>0.25</c:v>
                </c:pt>
                <c:pt idx="1153">
                  <c:v>0.25</c:v>
                </c:pt>
                <c:pt idx="1154">
                  <c:v>0.25</c:v>
                </c:pt>
                <c:pt idx="1155">
                  <c:v>0.25</c:v>
                </c:pt>
                <c:pt idx="1156">
                  <c:v>0.25</c:v>
                </c:pt>
                <c:pt idx="1157">
                  <c:v>0.25</c:v>
                </c:pt>
                <c:pt idx="1158">
                  <c:v>0.25</c:v>
                </c:pt>
                <c:pt idx="1159">
                  <c:v>0.25</c:v>
                </c:pt>
                <c:pt idx="1160">
                  <c:v>0.25</c:v>
                </c:pt>
                <c:pt idx="1161">
                  <c:v>0.25</c:v>
                </c:pt>
                <c:pt idx="1162">
                  <c:v>0.25</c:v>
                </c:pt>
                <c:pt idx="1163">
                  <c:v>0.25</c:v>
                </c:pt>
                <c:pt idx="1164">
                  <c:v>0.25</c:v>
                </c:pt>
                <c:pt idx="1165">
                  <c:v>0.56499999999999995</c:v>
                </c:pt>
                <c:pt idx="1166">
                  <c:v>0.55000000000000004</c:v>
                </c:pt>
                <c:pt idx="1167">
                  <c:v>0.25</c:v>
                </c:pt>
                <c:pt idx="1168">
                  <c:v>0.25</c:v>
                </c:pt>
                <c:pt idx="1169">
                  <c:v>0.25</c:v>
                </c:pt>
                <c:pt idx="1170">
                  <c:v>0.25</c:v>
                </c:pt>
                <c:pt idx="1171">
                  <c:v>0.25</c:v>
                </c:pt>
                <c:pt idx="1172">
                  <c:v>0.25</c:v>
                </c:pt>
                <c:pt idx="1173">
                  <c:v>0.25</c:v>
                </c:pt>
                <c:pt idx="1174">
                  <c:v>0.95499999999999996</c:v>
                </c:pt>
                <c:pt idx="1175">
                  <c:v>0.89500000000000002</c:v>
                </c:pt>
                <c:pt idx="1176">
                  <c:v>0.68500000000000005</c:v>
                </c:pt>
                <c:pt idx="1177">
                  <c:v>0.48999999999999994</c:v>
                </c:pt>
                <c:pt idx="1178">
                  <c:v>0.26500000000000024</c:v>
                </c:pt>
                <c:pt idx="1179">
                  <c:v>0.32500000000000001</c:v>
                </c:pt>
                <c:pt idx="1180">
                  <c:v>0.26500000000000024</c:v>
                </c:pt>
                <c:pt idx="1181">
                  <c:v>0.25</c:v>
                </c:pt>
                <c:pt idx="1182">
                  <c:v>0.25</c:v>
                </c:pt>
                <c:pt idx="1183">
                  <c:v>0.57999999999999985</c:v>
                </c:pt>
                <c:pt idx="1184">
                  <c:v>0.4</c:v>
                </c:pt>
                <c:pt idx="1185">
                  <c:v>0.25</c:v>
                </c:pt>
                <c:pt idx="1186">
                  <c:v>0.25</c:v>
                </c:pt>
                <c:pt idx="1187">
                  <c:v>0.25</c:v>
                </c:pt>
                <c:pt idx="1188">
                  <c:v>0.25</c:v>
                </c:pt>
                <c:pt idx="1189">
                  <c:v>0.25</c:v>
                </c:pt>
                <c:pt idx="1190">
                  <c:v>0.25</c:v>
                </c:pt>
                <c:pt idx="1191">
                  <c:v>0.25</c:v>
                </c:pt>
                <c:pt idx="1192">
                  <c:v>0.25</c:v>
                </c:pt>
                <c:pt idx="1193">
                  <c:v>0.38499999999999979</c:v>
                </c:pt>
                <c:pt idx="1194">
                  <c:v>0.41499999999999992</c:v>
                </c:pt>
                <c:pt idx="1195">
                  <c:v>0.25</c:v>
                </c:pt>
                <c:pt idx="1196">
                  <c:v>0.25</c:v>
                </c:pt>
                <c:pt idx="1197">
                  <c:v>0.25</c:v>
                </c:pt>
                <c:pt idx="1198">
                  <c:v>0.25</c:v>
                </c:pt>
                <c:pt idx="1199">
                  <c:v>0.25</c:v>
                </c:pt>
                <c:pt idx="1200">
                  <c:v>0.25</c:v>
                </c:pt>
                <c:pt idx="1201">
                  <c:v>0.25</c:v>
                </c:pt>
                <c:pt idx="1202">
                  <c:v>0.25</c:v>
                </c:pt>
                <c:pt idx="1203">
                  <c:v>0.25</c:v>
                </c:pt>
                <c:pt idx="1204">
                  <c:v>0.25</c:v>
                </c:pt>
                <c:pt idx="1205">
                  <c:v>0.25</c:v>
                </c:pt>
                <c:pt idx="1206">
                  <c:v>0.25</c:v>
                </c:pt>
                <c:pt idx="1207">
                  <c:v>0.25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0.25</c:v>
                </c:pt>
                <c:pt idx="1213">
                  <c:v>0.25</c:v>
                </c:pt>
                <c:pt idx="1214">
                  <c:v>0.25</c:v>
                </c:pt>
                <c:pt idx="1215">
                  <c:v>0.25</c:v>
                </c:pt>
                <c:pt idx="1216">
                  <c:v>0.25</c:v>
                </c:pt>
                <c:pt idx="1217">
                  <c:v>0.25</c:v>
                </c:pt>
                <c:pt idx="1218">
                  <c:v>0.25</c:v>
                </c:pt>
                <c:pt idx="1219">
                  <c:v>0.25</c:v>
                </c:pt>
                <c:pt idx="1220">
                  <c:v>0.25</c:v>
                </c:pt>
                <c:pt idx="1221">
                  <c:v>0.25</c:v>
                </c:pt>
                <c:pt idx="1222">
                  <c:v>0.25</c:v>
                </c:pt>
                <c:pt idx="1223">
                  <c:v>0.25</c:v>
                </c:pt>
                <c:pt idx="1224">
                  <c:v>0.25</c:v>
                </c:pt>
                <c:pt idx="1225">
                  <c:v>0.25</c:v>
                </c:pt>
                <c:pt idx="1226">
                  <c:v>0.25</c:v>
                </c:pt>
                <c:pt idx="1227">
                  <c:v>0.25</c:v>
                </c:pt>
                <c:pt idx="1228">
                  <c:v>0.25</c:v>
                </c:pt>
                <c:pt idx="1229">
                  <c:v>0.25</c:v>
                </c:pt>
                <c:pt idx="1230">
                  <c:v>0.25</c:v>
                </c:pt>
                <c:pt idx="1231">
                  <c:v>0.25</c:v>
                </c:pt>
                <c:pt idx="1232">
                  <c:v>0.25</c:v>
                </c:pt>
                <c:pt idx="1233">
                  <c:v>0.25</c:v>
                </c:pt>
                <c:pt idx="1234">
                  <c:v>0.25</c:v>
                </c:pt>
                <c:pt idx="1235">
                  <c:v>0.25</c:v>
                </c:pt>
                <c:pt idx="1236">
                  <c:v>0.25</c:v>
                </c:pt>
                <c:pt idx="1237">
                  <c:v>0.25</c:v>
                </c:pt>
                <c:pt idx="1238">
                  <c:v>0.27999999999999992</c:v>
                </c:pt>
                <c:pt idx="1239">
                  <c:v>0.52000000000000013</c:v>
                </c:pt>
                <c:pt idx="1240">
                  <c:v>0.25</c:v>
                </c:pt>
                <c:pt idx="1241">
                  <c:v>0.25</c:v>
                </c:pt>
                <c:pt idx="1242">
                  <c:v>0.25</c:v>
                </c:pt>
                <c:pt idx="1243">
                  <c:v>0.25</c:v>
                </c:pt>
                <c:pt idx="1244">
                  <c:v>0.42999999999999988</c:v>
                </c:pt>
                <c:pt idx="1245">
                  <c:v>0.67000000000000015</c:v>
                </c:pt>
                <c:pt idx="1246">
                  <c:v>0.32500000000000001</c:v>
                </c:pt>
                <c:pt idx="1247">
                  <c:v>0.25</c:v>
                </c:pt>
                <c:pt idx="1248">
                  <c:v>0.25</c:v>
                </c:pt>
                <c:pt idx="1249">
                  <c:v>0.25</c:v>
                </c:pt>
                <c:pt idx="1250">
                  <c:v>0.25</c:v>
                </c:pt>
                <c:pt idx="1251">
                  <c:v>0.25</c:v>
                </c:pt>
                <c:pt idx="1252">
                  <c:v>0.25</c:v>
                </c:pt>
                <c:pt idx="1253">
                  <c:v>0.25</c:v>
                </c:pt>
                <c:pt idx="1254">
                  <c:v>0.25</c:v>
                </c:pt>
                <c:pt idx="1255">
                  <c:v>0.25</c:v>
                </c:pt>
                <c:pt idx="1256">
                  <c:v>0.25</c:v>
                </c:pt>
                <c:pt idx="1257">
                  <c:v>0.25</c:v>
                </c:pt>
                <c:pt idx="1258">
                  <c:v>0.38499999999999979</c:v>
                </c:pt>
                <c:pt idx="1259">
                  <c:v>0.42999999999999988</c:v>
                </c:pt>
                <c:pt idx="1260">
                  <c:v>0.42999999999999988</c:v>
                </c:pt>
                <c:pt idx="1261">
                  <c:v>0.25</c:v>
                </c:pt>
                <c:pt idx="1262">
                  <c:v>0.25</c:v>
                </c:pt>
                <c:pt idx="1263">
                  <c:v>0.25</c:v>
                </c:pt>
                <c:pt idx="1264">
                  <c:v>0.25</c:v>
                </c:pt>
                <c:pt idx="1265">
                  <c:v>0.25</c:v>
                </c:pt>
                <c:pt idx="1266">
                  <c:v>0.65499999999999992</c:v>
                </c:pt>
                <c:pt idx="1267">
                  <c:v>0.75999999999999979</c:v>
                </c:pt>
                <c:pt idx="1268">
                  <c:v>1.3599999999999999</c:v>
                </c:pt>
                <c:pt idx="1269">
                  <c:v>1.615</c:v>
                </c:pt>
                <c:pt idx="1270">
                  <c:v>1.4950000000000001</c:v>
                </c:pt>
                <c:pt idx="1271">
                  <c:v>0.74500000000000011</c:v>
                </c:pt>
                <c:pt idx="1272">
                  <c:v>0.85</c:v>
                </c:pt>
                <c:pt idx="1273">
                  <c:v>1.45</c:v>
                </c:pt>
                <c:pt idx="1274">
                  <c:v>1.4200000000000002</c:v>
                </c:pt>
                <c:pt idx="1275">
                  <c:v>1.78</c:v>
                </c:pt>
                <c:pt idx="1276">
                  <c:v>1.4950000000000001</c:v>
                </c:pt>
                <c:pt idx="1277">
                  <c:v>1.0150000000000001</c:v>
                </c:pt>
                <c:pt idx="1278">
                  <c:v>1.2099999999999997</c:v>
                </c:pt>
                <c:pt idx="1279">
                  <c:v>1.2099999999999997</c:v>
                </c:pt>
                <c:pt idx="1280">
                  <c:v>1</c:v>
                </c:pt>
                <c:pt idx="1281">
                  <c:v>0.88</c:v>
                </c:pt>
                <c:pt idx="1282">
                  <c:v>1.1349999999999998</c:v>
                </c:pt>
                <c:pt idx="1283">
                  <c:v>1.3</c:v>
                </c:pt>
                <c:pt idx="1284">
                  <c:v>0.67000000000000015</c:v>
                </c:pt>
                <c:pt idx="1285">
                  <c:v>0.30999999999999978</c:v>
                </c:pt>
                <c:pt idx="1286">
                  <c:v>0.53500000000000003</c:v>
                </c:pt>
                <c:pt idx="1287">
                  <c:v>0.625</c:v>
                </c:pt>
                <c:pt idx="1288">
                  <c:v>0.46000000000000008</c:v>
                </c:pt>
                <c:pt idx="1289">
                  <c:v>0.46000000000000008</c:v>
                </c:pt>
                <c:pt idx="1290">
                  <c:v>0.85</c:v>
                </c:pt>
                <c:pt idx="1291">
                  <c:v>1.105</c:v>
                </c:pt>
                <c:pt idx="1292">
                  <c:v>1.1349999999999998</c:v>
                </c:pt>
                <c:pt idx="1293">
                  <c:v>1.0299999999999998</c:v>
                </c:pt>
                <c:pt idx="1294">
                  <c:v>1.2549999999999999</c:v>
                </c:pt>
                <c:pt idx="1295">
                  <c:v>1.51</c:v>
                </c:pt>
                <c:pt idx="1296">
                  <c:v>1.75</c:v>
                </c:pt>
                <c:pt idx="1297">
                  <c:v>1.615</c:v>
                </c:pt>
                <c:pt idx="1298">
                  <c:v>1.3299999999999998</c:v>
                </c:pt>
                <c:pt idx="1299">
                  <c:v>1.0900000000000003</c:v>
                </c:pt>
                <c:pt idx="1300">
                  <c:v>1.2549999999999999</c:v>
                </c:pt>
                <c:pt idx="1301">
                  <c:v>1.615</c:v>
                </c:pt>
                <c:pt idx="1302">
                  <c:v>2.3950000000000005</c:v>
                </c:pt>
                <c:pt idx="1303">
                  <c:v>1.9</c:v>
                </c:pt>
                <c:pt idx="1304">
                  <c:v>0.48999999999999994</c:v>
                </c:pt>
                <c:pt idx="1305">
                  <c:v>1.51</c:v>
                </c:pt>
                <c:pt idx="1306">
                  <c:v>1.4200000000000002</c:v>
                </c:pt>
                <c:pt idx="1307">
                  <c:v>1.6</c:v>
                </c:pt>
                <c:pt idx="1308">
                  <c:v>1.45</c:v>
                </c:pt>
                <c:pt idx="1309">
                  <c:v>1.1650000000000003</c:v>
                </c:pt>
                <c:pt idx="1310">
                  <c:v>1.18</c:v>
                </c:pt>
                <c:pt idx="1311">
                  <c:v>1.1650000000000003</c:v>
                </c:pt>
                <c:pt idx="1312">
                  <c:v>1.3900000000000001</c:v>
                </c:pt>
                <c:pt idx="1313">
                  <c:v>1.2849999999999997</c:v>
                </c:pt>
                <c:pt idx="1314">
                  <c:v>1.5549999999999999</c:v>
                </c:pt>
                <c:pt idx="1315">
                  <c:v>1.45</c:v>
                </c:pt>
                <c:pt idx="1316">
                  <c:v>1.4650000000000001</c:v>
                </c:pt>
                <c:pt idx="1317">
                  <c:v>1.645</c:v>
                </c:pt>
                <c:pt idx="1318">
                  <c:v>1.51</c:v>
                </c:pt>
                <c:pt idx="1319">
                  <c:v>1.87</c:v>
                </c:pt>
                <c:pt idx="1320">
                  <c:v>2.2599999999999998</c:v>
                </c:pt>
                <c:pt idx="1321">
                  <c:v>2.71</c:v>
                </c:pt>
                <c:pt idx="1322">
                  <c:v>2.5900000000000003</c:v>
                </c:pt>
                <c:pt idx="1323">
                  <c:v>2.8450000000000002</c:v>
                </c:pt>
                <c:pt idx="1324">
                  <c:v>2.7849999999999997</c:v>
                </c:pt>
                <c:pt idx="1325">
                  <c:v>2.7700000000000005</c:v>
                </c:pt>
                <c:pt idx="1326">
                  <c:v>2.6349999999999998</c:v>
                </c:pt>
                <c:pt idx="1327">
                  <c:v>2.5150000000000001</c:v>
                </c:pt>
                <c:pt idx="1328">
                  <c:v>2.2149999999999999</c:v>
                </c:pt>
                <c:pt idx="1329">
                  <c:v>2.02</c:v>
                </c:pt>
                <c:pt idx="1330">
                  <c:v>2.3050000000000002</c:v>
                </c:pt>
                <c:pt idx="1331">
                  <c:v>2.38</c:v>
                </c:pt>
                <c:pt idx="1332">
                  <c:v>3.04</c:v>
                </c:pt>
                <c:pt idx="1333">
                  <c:v>3.3699999999999997</c:v>
                </c:pt>
                <c:pt idx="1334">
                  <c:v>3.3400000000000003</c:v>
                </c:pt>
                <c:pt idx="1335">
                  <c:v>3.145</c:v>
                </c:pt>
                <c:pt idx="1336">
                  <c:v>3.0549999999999997</c:v>
                </c:pt>
                <c:pt idx="1337">
                  <c:v>2.6799999999999997</c:v>
                </c:pt>
                <c:pt idx="1338">
                  <c:v>1.54</c:v>
                </c:pt>
                <c:pt idx="1339">
                  <c:v>1.84</c:v>
                </c:pt>
                <c:pt idx="1340">
                  <c:v>2.71</c:v>
                </c:pt>
                <c:pt idx="1341">
                  <c:v>2.65</c:v>
                </c:pt>
                <c:pt idx="1342">
                  <c:v>1.48</c:v>
                </c:pt>
                <c:pt idx="1343">
                  <c:v>1.78</c:v>
                </c:pt>
                <c:pt idx="1344">
                  <c:v>1.6900000000000002</c:v>
                </c:pt>
                <c:pt idx="1345">
                  <c:v>2.2450000000000001</c:v>
                </c:pt>
                <c:pt idx="1346">
                  <c:v>2.4549999999999996</c:v>
                </c:pt>
                <c:pt idx="1347">
                  <c:v>2.6349999999999998</c:v>
                </c:pt>
                <c:pt idx="1348">
                  <c:v>3.1749999999999998</c:v>
                </c:pt>
                <c:pt idx="1349">
                  <c:v>3.1749999999999998</c:v>
                </c:pt>
                <c:pt idx="1350">
                  <c:v>3.04</c:v>
                </c:pt>
                <c:pt idx="1351">
                  <c:v>3.1749999999999998</c:v>
                </c:pt>
                <c:pt idx="1352">
                  <c:v>2.6799999999999997</c:v>
                </c:pt>
                <c:pt idx="1353">
                  <c:v>2.56</c:v>
                </c:pt>
                <c:pt idx="1354">
                  <c:v>2.7849999999999997</c:v>
                </c:pt>
                <c:pt idx="1355">
                  <c:v>2.6799999999999997</c:v>
                </c:pt>
                <c:pt idx="1356">
                  <c:v>1.915</c:v>
                </c:pt>
                <c:pt idx="1357">
                  <c:v>1.405</c:v>
                </c:pt>
                <c:pt idx="1358">
                  <c:v>1.8099999999999998</c:v>
                </c:pt>
                <c:pt idx="1359">
                  <c:v>2.4549999999999996</c:v>
                </c:pt>
                <c:pt idx="1360">
                  <c:v>2.3650000000000002</c:v>
                </c:pt>
                <c:pt idx="1361">
                  <c:v>2.3199999999999998</c:v>
                </c:pt>
                <c:pt idx="1362">
                  <c:v>2.08</c:v>
                </c:pt>
                <c:pt idx="1363">
                  <c:v>2.14</c:v>
                </c:pt>
                <c:pt idx="1364">
                  <c:v>2.23</c:v>
                </c:pt>
                <c:pt idx="1365">
                  <c:v>2.08</c:v>
                </c:pt>
                <c:pt idx="1366">
                  <c:v>2.11</c:v>
                </c:pt>
                <c:pt idx="1367">
                  <c:v>1.9</c:v>
                </c:pt>
                <c:pt idx="1368">
                  <c:v>2.71</c:v>
                </c:pt>
                <c:pt idx="1369">
                  <c:v>3.1300000000000003</c:v>
                </c:pt>
                <c:pt idx="1370">
                  <c:v>3.01</c:v>
                </c:pt>
                <c:pt idx="1371">
                  <c:v>2.1550000000000002</c:v>
                </c:pt>
                <c:pt idx="1372">
                  <c:v>2.665</c:v>
                </c:pt>
                <c:pt idx="1373">
                  <c:v>2.65</c:v>
                </c:pt>
                <c:pt idx="1374">
                  <c:v>2.2599999999999998</c:v>
                </c:pt>
                <c:pt idx="1375">
                  <c:v>2.6349999999999998</c:v>
                </c:pt>
                <c:pt idx="1376">
                  <c:v>2.7700000000000005</c:v>
                </c:pt>
                <c:pt idx="1377">
                  <c:v>3.1749999999999998</c:v>
                </c:pt>
                <c:pt idx="1378">
                  <c:v>2.4249999999999998</c:v>
                </c:pt>
                <c:pt idx="1379">
                  <c:v>2.1550000000000002</c:v>
                </c:pt>
                <c:pt idx="1380">
                  <c:v>2.4700000000000002</c:v>
                </c:pt>
                <c:pt idx="1381">
                  <c:v>2.4700000000000002</c:v>
                </c:pt>
                <c:pt idx="1382">
                  <c:v>2.1849999999999996</c:v>
                </c:pt>
                <c:pt idx="1383">
                  <c:v>1.99</c:v>
                </c:pt>
                <c:pt idx="1384">
                  <c:v>2.9350000000000001</c:v>
                </c:pt>
                <c:pt idx="1385">
                  <c:v>3.5050000000000003</c:v>
                </c:pt>
                <c:pt idx="1386">
                  <c:v>3.2800000000000002</c:v>
                </c:pt>
                <c:pt idx="1387">
                  <c:v>3.58</c:v>
                </c:pt>
                <c:pt idx="1388">
                  <c:v>3.64</c:v>
                </c:pt>
                <c:pt idx="1389">
                  <c:v>3.76</c:v>
                </c:pt>
                <c:pt idx="1390">
                  <c:v>3.46</c:v>
                </c:pt>
                <c:pt idx="1391">
                  <c:v>3.355</c:v>
                </c:pt>
                <c:pt idx="1392">
                  <c:v>2.7250000000000001</c:v>
                </c:pt>
                <c:pt idx="1393">
                  <c:v>2.23</c:v>
                </c:pt>
                <c:pt idx="1394">
                  <c:v>2.35</c:v>
                </c:pt>
                <c:pt idx="1395">
                  <c:v>2.6049999999999995</c:v>
                </c:pt>
                <c:pt idx="1396">
                  <c:v>3.04</c:v>
                </c:pt>
                <c:pt idx="1397">
                  <c:v>2.8299999999999996</c:v>
                </c:pt>
                <c:pt idx="1398">
                  <c:v>2.71</c:v>
                </c:pt>
                <c:pt idx="1399">
                  <c:v>2.4099999999999997</c:v>
                </c:pt>
                <c:pt idx="1400">
                  <c:v>2.7549999999999999</c:v>
                </c:pt>
                <c:pt idx="1401">
                  <c:v>2.9650000000000003</c:v>
                </c:pt>
                <c:pt idx="1402">
                  <c:v>3.31</c:v>
                </c:pt>
                <c:pt idx="1403">
                  <c:v>2.9650000000000003</c:v>
                </c:pt>
                <c:pt idx="1404">
                  <c:v>3.1599999999999997</c:v>
                </c:pt>
                <c:pt idx="1405">
                  <c:v>2.4249999999999998</c:v>
                </c:pt>
                <c:pt idx="1406">
                  <c:v>2.125</c:v>
                </c:pt>
                <c:pt idx="1407">
                  <c:v>1.9750000000000001</c:v>
                </c:pt>
                <c:pt idx="1408">
                  <c:v>2.17</c:v>
                </c:pt>
                <c:pt idx="1409">
                  <c:v>2.5450000000000004</c:v>
                </c:pt>
                <c:pt idx="1410">
                  <c:v>2.125</c:v>
                </c:pt>
                <c:pt idx="1411">
                  <c:v>2.0650000000000004</c:v>
                </c:pt>
                <c:pt idx="1412">
                  <c:v>2.29</c:v>
                </c:pt>
                <c:pt idx="1413">
                  <c:v>2.665</c:v>
                </c:pt>
                <c:pt idx="1414">
                  <c:v>2.4700000000000002</c:v>
                </c:pt>
                <c:pt idx="1415">
                  <c:v>2.5299999999999998</c:v>
                </c:pt>
                <c:pt idx="1416">
                  <c:v>2.125</c:v>
                </c:pt>
                <c:pt idx="1417">
                  <c:v>2.125</c:v>
                </c:pt>
                <c:pt idx="1418">
                  <c:v>1.885</c:v>
                </c:pt>
                <c:pt idx="1419">
                  <c:v>2.17</c:v>
                </c:pt>
                <c:pt idx="1420">
                  <c:v>3.2199999999999998</c:v>
                </c:pt>
                <c:pt idx="1421">
                  <c:v>2.89</c:v>
                </c:pt>
                <c:pt idx="1422">
                  <c:v>1.855</c:v>
                </c:pt>
                <c:pt idx="1423">
                  <c:v>1.66</c:v>
                </c:pt>
                <c:pt idx="1424">
                  <c:v>1.84</c:v>
                </c:pt>
                <c:pt idx="1425">
                  <c:v>1.27</c:v>
                </c:pt>
                <c:pt idx="1426">
                  <c:v>1.5249999999999999</c:v>
                </c:pt>
                <c:pt idx="1427">
                  <c:v>2.17</c:v>
                </c:pt>
                <c:pt idx="1428">
                  <c:v>1.4349999999999998</c:v>
                </c:pt>
                <c:pt idx="1429">
                  <c:v>1.1950000000000001</c:v>
                </c:pt>
                <c:pt idx="1430">
                  <c:v>1.9750000000000001</c:v>
                </c:pt>
                <c:pt idx="1431">
                  <c:v>1.855</c:v>
                </c:pt>
                <c:pt idx="1432">
                  <c:v>1.4650000000000001</c:v>
                </c:pt>
                <c:pt idx="1433">
                  <c:v>1.66</c:v>
                </c:pt>
                <c:pt idx="1434">
                  <c:v>1.66</c:v>
                </c:pt>
                <c:pt idx="1435">
                  <c:v>1.7049999999999998</c:v>
                </c:pt>
                <c:pt idx="1436">
                  <c:v>2.3050000000000002</c:v>
                </c:pt>
                <c:pt idx="1437">
                  <c:v>2.1849999999999996</c:v>
                </c:pt>
                <c:pt idx="1438">
                  <c:v>1.78</c:v>
                </c:pt>
                <c:pt idx="1439">
                  <c:v>1.93</c:v>
                </c:pt>
                <c:pt idx="1440">
                  <c:v>1.66</c:v>
                </c:pt>
                <c:pt idx="1441">
                  <c:v>1.6900000000000002</c:v>
                </c:pt>
                <c:pt idx="1442">
                  <c:v>1.2250000000000001</c:v>
                </c:pt>
                <c:pt idx="1443">
                  <c:v>1.9750000000000001</c:v>
                </c:pt>
                <c:pt idx="1444">
                  <c:v>2.17</c:v>
                </c:pt>
                <c:pt idx="1445">
                  <c:v>1.885</c:v>
                </c:pt>
                <c:pt idx="1446">
                  <c:v>1.75</c:v>
                </c:pt>
                <c:pt idx="1447">
                  <c:v>1.3</c:v>
                </c:pt>
                <c:pt idx="1448">
                  <c:v>1</c:v>
                </c:pt>
                <c:pt idx="1449">
                  <c:v>1.4650000000000001</c:v>
                </c:pt>
                <c:pt idx="1450">
                  <c:v>1.855</c:v>
                </c:pt>
                <c:pt idx="1451">
                  <c:v>1.99</c:v>
                </c:pt>
                <c:pt idx="1452">
                  <c:v>1.885</c:v>
                </c:pt>
                <c:pt idx="1453">
                  <c:v>1.585</c:v>
                </c:pt>
                <c:pt idx="1454">
                  <c:v>1.48</c:v>
                </c:pt>
                <c:pt idx="1455">
                  <c:v>1.405</c:v>
                </c:pt>
                <c:pt idx="1456">
                  <c:v>1.2250000000000001</c:v>
                </c:pt>
                <c:pt idx="1457">
                  <c:v>1.7049999999999998</c:v>
                </c:pt>
                <c:pt idx="1458">
                  <c:v>1.4950000000000001</c:v>
                </c:pt>
                <c:pt idx="1459">
                  <c:v>0.90999999999999981</c:v>
                </c:pt>
                <c:pt idx="1460">
                  <c:v>0.79000000000000026</c:v>
                </c:pt>
                <c:pt idx="1461">
                  <c:v>0.86500000000000021</c:v>
                </c:pt>
                <c:pt idx="1462">
                  <c:v>1.0299999999999998</c:v>
                </c:pt>
                <c:pt idx="1463">
                  <c:v>1.27</c:v>
                </c:pt>
                <c:pt idx="1464">
                  <c:v>0.88</c:v>
                </c:pt>
                <c:pt idx="1465">
                  <c:v>1.2099999999999997</c:v>
                </c:pt>
                <c:pt idx="1466">
                  <c:v>1.825</c:v>
                </c:pt>
                <c:pt idx="1467">
                  <c:v>2.11</c:v>
                </c:pt>
                <c:pt idx="1468">
                  <c:v>2.335</c:v>
                </c:pt>
                <c:pt idx="1469">
                  <c:v>2.14</c:v>
                </c:pt>
                <c:pt idx="1470">
                  <c:v>2.11</c:v>
                </c:pt>
                <c:pt idx="1471">
                  <c:v>1.48</c:v>
                </c:pt>
                <c:pt idx="1472">
                  <c:v>1.4950000000000001</c:v>
                </c:pt>
                <c:pt idx="1473">
                  <c:v>1.27</c:v>
                </c:pt>
                <c:pt idx="1474">
                  <c:v>0.94000000000000017</c:v>
                </c:pt>
                <c:pt idx="1475">
                  <c:v>0.57999999999999985</c:v>
                </c:pt>
                <c:pt idx="1476">
                  <c:v>0.67000000000000015</c:v>
                </c:pt>
                <c:pt idx="1477">
                  <c:v>0.71500000000000019</c:v>
                </c:pt>
                <c:pt idx="1478">
                  <c:v>0.90999999999999981</c:v>
                </c:pt>
                <c:pt idx="1479">
                  <c:v>1.0150000000000001</c:v>
                </c:pt>
                <c:pt idx="1480">
                  <c:v>0.52000000000000013</c:v>
                </c:pt>
                <c:pt idx="1481">
                  <c:v>0.25</c:v>
                </c:pt>
                <c:pt idx="1482">
                  <c:v>0.25</c:v>
                </c:pt>
                <c:pt idx="1483">
                  <c:v>1.1349999999999998</c:v>
                </c:pt>
                <c:pt idx="1484">
                  <c:v>1.345</c:v>
                </c:pt>
                <c:pt idx="1485">
                  <c:v>1.6</c:v>
                </c:pt>
                <c:pt idx="1486">
                  <c:v>1.1200000000000001</c:v>
                </c:pt>
                <c:pt idx="1487">
                  <c:v>1.105</c:v>
                </c:pt>
                <c:pt idx="1488">
                  <c:v>0.71500000000000019</c:v>
                </c:pt>
                <c:pt idx="1489">
                  <c:v>1.45</c:v>
                </c:pt>
                <c:pt idx="1490">
                  <c:v>1.87</c:v>
                </c:pt>
                <c:pt idx="1491">
                  <c:v>1.96</c:v>
                </c:pt>
                <c:pt idx="1492">
                  <c:v>1.8099999999999998</c:v>
                </c:pt>
                <c:pt idx="1493">
                  <c:v>1.75</c:v>
                </c:pt>
                <c:pt idx="1494">
                  <c:v>1.075</c:v>
                </c:pt>
                <c:pt idx="1495">
                  <c:v>0.80499999999999994</c:v>
                </c:pt>
                <c:pt idx="1496">
                  <c:v>0.79000000000000026</c:v>
                </c:pt>
                <c:pt idx="1497">
                  <c:v>1.18</c:v>
                </c:pt>
                <c:pt idx="1498">
                  <c:v>1.3150000000000002</c:v>
                </c:pt>
                <c:pt idx="1499">
                  <c:v>1.2549999999999999</c:v>
                </c:pt>
                <c:pt idx="1500">
                  <c:v>1.66</c:v>
                </c:pt>
                <c:pt idx="1501">
                  <c:v>1.9</c:v>
                </c:pt>
                <c:pt idx="1502">
                  <c:v>1.63</c:v>
                </c:pt>
                <c:pt idx="1503">
                  <c:v>1</c:v>
                </c:pt>
                <c:pt idx="1504">
                  <c:v>0.68500000000000005</c:v>
                </c:pt>
                <c:pt idx="1505">
                  <c:v>0.25</c:v>
                </c:pt>
                <c:pt idx="1506">
                  <c:v>0.6399999999999999</c:v>
                </c:pt>
                <c:pt idx="1507">
                  <c:v>0.52000000000000013</c:v>
                </c:pt>
                <c:pt idx="1508">
                  <c:v>0.83499999999999974</c:v>
                </c:pt>
                <c:pt idx="1509">
                  <c:v>0.85</c:v>
                </c:pt>
                <c:pt idx="1510">
                  <c:v>0.625</c:v>
                </c:pt>
                <c:pt idx="1511">
                  <c:v>0.34000000000000019</c:v>
                </c:pt>
                <c:pt idx="1512">
                  <c:v>0.27999999999999992</c:v>
                </c:pt>
                <c:pt idx="1513">
                  <c:v>0.25</c:v>
                </c:pt>
                <c:pt idx="1514">
                  <c:v>0.65499999999999992</c:v>
                </c:pt>
                <c:pt idx="1515">
                  <c:v>0.94000000000000017</c:v>
                </c:pt>
                <c:pt idx="1516">
                  <c:v>0.77500000000000002</c:v>
                </c:pt>
                <c:pt idx="1517">
                  <c:v>0.27999999999999992</c:v>
                </c:pt>
                <c:pt idx="1518">
                  <c:v>0.25</c:v>
                </c:pt>
                <c:pt idx="1519">
                  <c:v>0.25</c:v>
                </c:pt>
                <c:pt idx="1520">
                  <c:v>0.25</c:v>
                </c:pt>
                <c:pt idx="1521">
                  <c:v>0.25</c:v>
                </c:pt>
                <c:pt idx="1522">
                  <c:v>0.25</c:v>
                </c:pt>
                <c:pt idx="1523">
                  <c:v>0.25</c:v>
                </c:pt>
                <c:pt idx="1524">
                  <c:v>0.25</c:v>
                </c:pt>
                <c:pt idx="1525">
                  <c:v>0.25</c:v>
                </c:pt>
                <c:pt idx="1526">
                  <c:v>0.25</c:v>
                </c:pt>
                <c:pt idx="1527">
                  <c:v>0.25</c:v>
                </c:pt>
                <c:pt idx="1528">
                  <c:v>0.25</c:v>
                </c:pt>
                <c:pt idx="1529">
                  <c:v>0.25</c:v>
                </c:pt>
                <c:pt idx="1530">
                  <c:v>0.25</c:v>
                </c:pt>
                <c:pt idx="1531">
                  <c:v>0.25</c:v>
                </c:pt>
                <c:pt idx="1532">
                  <c:v>0.25</c:v>
                </c:pt>
                <c:pt idx="1533">
                  <c:v>0.25</c:v>
                </c:pt>
                <c:pt idx="1534">
                  <c:v>0.25</c:v>
                </c:pt>
                <c:pt idx="1535">
                  <c:v>0.25</c:v>
                </c:pt>
                <c:pt idx="1536">
                  <c:v>0.25</c:v>
                </c:pt>
                <c:pt idx="1537">
                  <c:v>0.25</c:v>
                </c:pt>
                <c:pt idx="1538">
                  <c:v>0.25</c:v>
                </c:pt>
                <c:pt idx="1539">
                  <c:v>0.25</c:v>
                </c:pt>
                <c:pt idx="1540">
                  <c:v>0.25</c:v>
                </c:pt>
                <c:pt idx="1541">
                  <c:v>0.25</c:v>
                </c:pt>
                <c:pt idx="1542">
                  <c:v>0.25</c:v>
                </c:pt>
                <c:pt idx="1543">
                  <c:v>0.25</c:v>
                </c:pt>
                <c:pt idx="1544">
                  <c:v>0.25</c:v>
                </c:pt>
                <c:pt idx="1545">
                  <c:v>0.25</c:v>
                </c:pt>
                <c:pt idx="1546">
                  <c:v>0.25</c:v>
                </c:pt>
                <c:pt idx="1547">
                  <c:v>0.25</c:v>
                </c:pt>
                <c:pt idx="1548">
                  <c:v>0.25</c:v>
                </c:pt>
                <c:pt idx="1549">
                  <c:v>0.25</c:v>
                </c:pt>
                <c:pt idx="1550">
                  <c:v>0.25</c:v>
                </c:pt>
                <c:pt idx="1551">
                  <c:v>0.25</c:v>
                </c:pt>
                <c:pt idx="1552">
                  <c:v>0.25</c:v>
                </c:pt>
                <c:pt idx="1553">
                  <c:v>0.25</c:v>
                </c:pt>
                <c:pt idx="1554">
                  <c:v>0.25</c:v>
                </c:pt>
                <c:pt idx="1555">
                  <c:v>0.42999999999999988</c:v>
                </c:pt>
                <c:pt idx="1556">
                  <c:v>0.59500000000000008</c:v>
                </c:pt>
                <c:pt idx="1557">
                  <c:v>0.25</c:v>
                </c:pt>
                <c:pt idx="1558">
                  <c:v>0.25</c:v>
                </c:pt>
                <c:pt idx="1559">
                  <c:v>0.25</c:v>
                </c:pt>
                <c:pt idx="1560">
                  <c:v>0.32500000000000001</c:v>
                </c:pt>
                <c:pt idx="1561">
                  <c:v>0.25</c:v>
                </c:pt>
                <c:pt idx="1562">
                  <c:v>0.25</c:v>
                </c:pt>
                <c:pt idx="1563">
                  <c:v>0.35499999999999987</c:v>
                </c:pt>
                <c:pt idx="1564">
                  <c:v>0.25</c:v>
                </c:pt>
                <c:pt idx="1565">
                  <c:v>0.25</c:v>
                </c:pt>
                <c:pt idx="1566">
                  <c:v>0.25</c:v>
                </c:pt>
                <c:pt idx="1567">
                  <c:v>0.25</c:v>
                </c:pt>
                <c:pt idx="1568">
                  <c:v>0.25</c:v>
                </c:pt>
                <c:pt idx="1569">
                  <c:v>0.25</c:v>
                </c:pt>
                <c:pt idx="1570">
                  <c:v>0.25</c:v>
                </c:pt>
                <c:pt idx="1571">
                  <c:v>0.25</c:v>
                </c:pt>
                <c:pt idx="1572">
                  <c:v>0.25</c:v>
                </c:pt>
                <c:pt idx="1573">
                  <c:v>0.25</c:v>
                </c:pt>
                <c:pt idx="1574">
                  <c:v>0.25</c:v>
                </c:pt>
                <c:pt idx="1575">
                  <c:v>0.25</c:v>
                </c:pt>
                <c:pt idx="1576">
                  <c:v>0.25</c:v>
                </c:pt>
                <c:pt idx="1577">
                  <c:v>0.25</c:v>
                </c:pt>
                <c:pt idx="1578">
                  <c:v>0.25</c:v>
                </c:pt>
                <c:pt idx="1579">
                  <c:v>0.25</c:v>
                </c:pt>
                <c:pt idx="1580">
                  <c:v>0.25</c:v>
                </c:pt>
                <c:pt idx="1581">
                  <c:v>0.25</c:v>
                </c:pt>
                <c:pt idx="1582">
                  <c:v>0.25</c:v>
                </c:pt>
                <c:pt idx="1583">
                  <c:v>0.25</c:v>
                </c:pt>
                <c:pt idx="1584">
                  <c:v>0.25</c:v>
                </c:pt>
                <c:pt idx="1585">
                  <c:v>0.25</c:v>
                </c:pt>
                <c:pt idx="1586">
                  <c:v>0.25</c:v>
                </c:pt>
                <c:pt idx="1587">
                  <c:v>0.25</c:v>
                </c:pt>
                <c:pt idx="1588">
                  <c:v>0.25</c:v>
                </c:pt>
                <c:pt idx="1589">
                  <c:v>0.25</c:v>
                </c:pt>
                <c:pt idx="1590">
                  <c:v>0.25</c:v>
                </c:pt>
                <c:pt idx="1591">
                  <c:v>0.25</c:v>
                </c:pt>
                <c:pt idx="1592">
                  <c:v>0.34000000000000019</c:v>
                </c:pt>
                <c:pt idx="1593">
                  <c:v>0.27999999999999992</c:v>
                </c:pt>
                <c:pt idx="1594">
                  <c:v>0.25</c:v>
                </c:pt>
                <c:pt idx="1595">
                  <c:v>0.25</c:v>
                </c:pt>
                <c:pt idx="1596">
                  <c:v>0.25</c:v>
                </c:pt>
                <c:pt idx="1597">
                  <c:v>0.25</c:v>
                </c:pt>
                <c:pt idx="1598">
                  <c:v>0.25</c:v>
                </c:pt>
                <c:pt idx="1599">
                  <c:v>0.25</c:v>
                </c:pt>
                <c:pt idx="1600">
                  <c:v>0.25</c:v>
                </c:pt>
                <c:pt idx="1601">
                  <c:v>0.25</c:v>
                </c:pt>
                <c:pt idx="1602">
                  <c:v>0.25</c:v>
                </c:pt>
                <c:pt idx="1603">
                  <c:v>0.25</c:v>
                </c:pt>
                <c:pt idx="1604">
                  <c:v>0.25</c:v>
                </c:pt>
                <c:pt idx="1605">
                  <c:v>0.25</c:v>
                </c:pt>
                <c:pt idx="1606">
                  <c:v>0.25</c:v>
                </c:pt>
                <c:pt idx="1607">
                  <c:v>0.25</c:v>
                </c:pt>
                <c:pt idx="1608">
                  <c:v>0.25</c:v>
                </c:pt>
                <c:pt idx="1609">
                  <c:v>0.25</c:v>
                </c:pt>
                <c:pt idx="1610">
                  <c:v>0.25</c:v>
                </c:pt>
                <c:pt idx="1611">
                  <c:v>0.38499999999999979</c:v>
                </c:pt>
                <c:pt idx="1612">
                  <c:v>0.47499999999999998</c:v>
                </c:pt>
                <c:pt idx="1613">
                  <c:v>0.25</c:v>
                </c:pt>
                <c:pt idx="1614">
                  <c:v>0.25</c:v>
                </c:pt>
                <c:pt idx="1615">
                  <c:v>0.53500000000000003</c:v>
                </c:pt>
                <c:pt idx="1616">
                  <c:v>0.75999999999999979</c:v>
                </c:pt>
                <c:pt idx="1617">
                  <c:v>0.77500000000000002</c:v>
                </c:pt>
                <c:pt idx="1618">
                  <c:v>0.82000000000000006</c:v>
                </c:pt>
                <c:pt idx="1619">
                  <c:v>0.7</c:v>
                </c:pt>
                <c:pt idx="1620">
                  <c:v>0.50499999999999989</c:v>
                </c:pt>
                <c:pt idx="1621">
                  <c:v>0.35499999999999987</c:v>
                </c:pt>
                <c:pt idx="1622">
                  <c:v>0.25</c:v>
                </c:pt>
                <c:pt idx="1623">
                  <c:v>0.48999999999999994</c:v>
                </c:pt>
                <c:pt idx="1624">
                  <c:v>0.37000000000000011</c:v>
                </c:pt>
                <c:pt idx="1625">
                  <c:v>0.41499999999999992</c:v>
                </c:pt>
                <c:pt idx="1626">
                  <c:v>0.72999999999999987</c:v>
                </c:pt>
                <c:pt idx="1627">
                  <c:v>1.0599999999999998</c:v>
                </c:pt>
                <c:pt idx="1628">
                  <c:v>1.3</c:v>
                </c:pt>
                <c:pt idx="1629">
                  <c:v>1.375</c:v>
                </c:pt>
                <c:pt idx="1630">
                  <c:v>0.98499999999999976</c:v>
                </c:pt>
                <c:pt idx="1631">
                  <c:v>0.72999999999999987</c:v>
                </c:pt>
                <c:pt idx="1632">
                  <c:v>0.89500000000000002</c:v>
                </c:pt>
                <c:pt idx="1633">
                  <c:v>0.52000000000000013</c:v>
                </c:pt>
                <c:pt idx="1634">
                  <c:v>0.55000000000000004</c:v>
                </c:pt>
                <c:pt idx="1635">
                  <c:v>0.6100000000000001</c:v>
                </c:pt>
                <c:pt idx="1636">
                  <c:v>0.35499999999999987</c:v>
                </c:pt>
                <c:pt idx="1637">
                  <c:v>0.55000000000000004</c:v>
                </c:pt>
                <c:pt idx="1638">
                  <c:v>0.35499999999999987</c:v>
                </c:pt>
                <c:pt idx="1639">
                  <c:v>0.37000000000000011</c:v>
                </c:pt>
                <c:pt idx="1640">
                  <c:v>0.625</c:v>
                </c:pt>
                <c:pt idx="1641">
                  <c:v>0.94000000000000017</c:v>
                </c:pt>
                <c:pt idx="1642">
                  <c:v>1.6</c:v>
                </c:pt>
                <c:pt idx="1643">
                  <c:v>1.3900000000000001</c:v>
                </c:pt>
                <c:pt idx="1644">
                  <c:v>1.48</c:v>
                </c:pt>
                <c:pt idx="1645">
                  <c:v>1.7049999999999998</c:v>
                </c:pt>
                <c:pt idx="1646">
                  <c:v>1.9750000000000001</c:v>
                </c:pt>
                <c:pt idx="1647">
                  <c:v>1.585</c:v>
                </c:pt>
                <c:pt idx="1648">
                  <c:v>0.95499999999999996</c:v>
                </c:pt>
                <c:pt idx="1649">
                  <c:v>1.18</c:v>
                </c:pt>
                <c:pt idx="1650">
                  <c:v>1.0900000000000003</c:v>
                </c:pt>
                <c:pt idx="1651">
                  <c:v>0.47499999999999998</c:v>
                </c:pt>
                <c:pt idx="1652">
                  <c:v>0.34000000000000019</c:v>
                </c:pt>
                <c:pt idx="1653">
                  <c:v>0.67000000000000015</c:v>
                </c:pt>
                <c:pt idx="1654">
                  <c:v>0.83499999999999974</c:v>
                </c:pt>
                <c:pt idx="1655">
                  <c:v>0.90999999999999981</c:v>
                </c:pt>
                <c:pt idx="1656">
                  <c:v>0.98499999999999976</c:v>
                </c:pt>
                <c:pt idx="1657">
                  <c:v>0.68500000000000005</c:v>
                </c:pt>
                <c:pt idx="1658">
                  <c:v>0.98499999999999976</c:v>
                </c:pt>
                <c:pt idx="1659">
                  <c:v>1.1200000000000001</c:v>
                </c:pt>
                <c:pt idx="1660">
                  <c:v>1.1499999999999999</c:v>
                </c:pt>
                <c:pt idx="1661">
                  <c:v>1.105</c:v>
                </c:pt>
                <c:pt idx="1662">
                  <c:v>0.94000000000000017</c:v>
                </c:pt>
                <c:pt idx="1663">
                  <c:v>1.2549999999999999</c:v>
                </c:pt>
                <c:pt idx="1664">
                  <c:v>0.97000000000000008</c:v>
                </c:pt>
                <c:pt idx="1665">
                  <c:v>0.89500000000000002</c:v>
                </c:pt>
                <c:pt idx="1666">
                  <c:v>0.97000000000000008</c:v>
                </c:pt>
                <c:pt idx="1667">
                  <c:v>1.7349999999999999</c:v>
                </c:pt>
                <c:pt idx="1668">
                  <c:v>2.11</c:v>
                </c:pt>
                <c:pt idx="1669">
                  <c:v>2.35</c:v>
                </c:pt>
                <c:pt idx="1670">
                  <c:v>2.62</c:v>
                </c:pt>
                <c:pt idx="1671">
                  <c:v>2.3199999999999998</c:v>
                </c:pt>
                <c:pt idx="1672">
                  <c:v>1.5249999999999999</c:v>
                </c:pt>
                <c:pt idx="1673">
                  <c:v>1.5249999999999999</c:v>
                </c:pt>
                <c:pt idx="1674">
                  <c:v>1.2099999999999997</c:v>
                </c:pt>
                <c:pt idx="1675">
                  <c:v>1.54</c:v>
                </c:pt>
                <c:pt idx="1676">
                  <c:v>1.615</c:v>
                </c:pt>
                <c:pt idx="1677">
                  <c:v>1.5549999999999999</c:v>
                </c:pt>
                <c:pt idx="1678">
                  <c:v>1.8099999999999998</c:v>
                </c:pt>
                <c:pt idx="1679">
                  <c:v>1.855</c:v>
                </c:pt>
                <c:pt idx="1680">
                  <c:v>2.6349999999999998</c:v>
                </c:pt>
                <c:pt idx="1681">
                  <c:v>2.62</c:v>
                </c:pt>
                <c:pt idx="1682">
                  <c:v>2.2599999999999998</c:v>
                </c:pt>
                <c:pt idx="1683">
                  <c:v>2.4099999999999997</c:v>
                </c:pt>
                <c:pt idx="1684">
                  <c:v>2.4099999999999997</c:v>
                </c:pt>
                <c:pt idx="1685">
                  <c:v>1.6900000000000002</c:v>
                </c:pt>
                <c:pt idx="1686">
                  <c:v>1.57</c:v>
                </c:pt>
                <c:pt idx="1687">
                  <c:v>1.2849999999999997</c:v>
                </c:pt>
                <c:pt idx="1688">
                  <c:v>1.6</c:v>
                </c:pt>
                <c:pt idx="1689">
                  <c:v>2.0949999999999998</c:v>
                </c:pt>
                <c:pt idx="1690">
                  <c:v>1.855</c:v>
                </c:pt>
                <c:pt idx="1691">
                  <c:v>1.6</c:v>
                </c:pt>
                <c:pt idx="1692">
                  <c:v>1.54</c:v>
                </c:pt>
                <c:pt idx="1693">
                  <c:v>1.645</c:v>
                </c:pt>
                <c:pt idx="1694">
                  <c:v>1.78</c:v>
                </c:pt>
                <c:pt idx="1695">
                  <c:v>1.96</c:v>
                </c:pt>
                <c:pt idx="1696">
                  <c:v>2.0650000000000004</c:v>
                </c:pt>
                <c:pt idx="1697">
                  <c:v>2.0049999999999999</c:v>
                </c:pt>
                <c:pt idx="1698">
                  <c:v>1.54</c:v>
                </c:pt>
                <c:pt idx="1699">
                  <c:v>1.7349999999999999</c:v>
                </c:pt>
                <c:pt idx="1700">
                  <c:v>2.5150000000000001</c:v>
                </c:pt>
                <c:pt idx="1701">
                  <c:v>2.74</c:v>
                </c:pt>
                <c:pt idx="1702">
                  <c:v>2.4549999999999996</c:v>
                </c:pt>
                <c:pt idx="1703">
                  <c:v>2.5299999999999998</c:v>
                </c:pt>
                <c:pt idx="1704">
                  <c:v>2.5150000000000001</c:v>
                </c:pt>
                <c:pt idx="1705">
                  <c:v>2.9650000000000003</c:v>
                </c:pt>
                <c:pt idx="1706">
                  <c:v>2.7549999999999999</c:v>
                </c:pt>
                <c:pt idx="1707">
                  <c:v>1.8099999999999998</c:v>
                </c:pt>
                <c:pt idx="1708">
                  <c:v>1.585</c:v>
                </c:pt>
                <c:pt idx="1709">
                  <c:v>1.645</c:v>
                </c:pt>
                <c:pt idx="1710">
                  <c:v>2.35</c:v>
                </c:pt>
                <c:pt idx="1711">
                  <c:v>2.9650000000000003</c:v>
                </c:pt>
                <c:pt idx="1712">
                  <c:v>2.7700000000000005</c:v>
                </c:pt>
                <c:pt idx="1713">
                  <c:v>2.7549999999999999</c:v>
                </c:pt>
                <c:pt idx="1714">
                  <c:v>2.0350000000000001</c:v>
                </c:pt>
                <c:pt idx="1715">
                  <c:v>1.66</c:v>
                </c:pt>
                <c:pt idx="1716">
                  <c:v>1.885</c:v>
                </c:pt>
                <c:pt idx="1717">
                  <c:v>2.6049999999999995</c:v>
                </c:pt>
                <c:pt idx="1718">
                  <c:v>2.4700000000000002</c:v>
                </c:pt>
                <c:pt idx="1719">
                  <c:v>2.56</c:v>
                </c:pt>
                <c:pt idx="1720">
                  <c:v>2.0350000000000001</c:v>
                </c:pt>
                <c:pt idx="1721">
                  <c:v>1.9750000000000001</c:v>
                </c:pt>
                <c:pt idx="1722">
                  <c:v>2.3650000000000002</c:v>
                </c:pt>
                <c:pt idx="1723">
                  <c:v>1.885</c:v>
                </c:pt>
                <c:pt idx="1724">
                  <c:v>2.0499999999999998</c:v>
                </c:pt>
                <c:pt idx="1725">
                  <c:v>1.885</c:v>
                </c:pt>
                <c:pt idx="1726">
                  <c:v>2.2149999999999999</c:v>
                </c:pt>
                <c:pt idx="1727">
                  <c:v>2.3950000000000005</c:v>
                </c:pt>
                <c:pt idx="1728">
                  <c:v>2.71</c:v>
                </c:pt>
                <c:pt idx="1729">
                  <c:v>2.9350000000000001</c:v>
                </c:pt>
                <c:pt idx="1730">
                  <c:v>2.7849999999999997</c:v>
                </c:pt>
                <c:pt idx="1731">
                  <c:v>2.3050000000000002</c:v>
                </c:pt>
                <c:pt idx="1732">
                  <c:v>2.71</c:v>
                </c:pt>
                <c:pt idx="1733">
                  <c:v>3.58</c:v>
                </c:pt>
                <c:pt idx="1734">
                  <c:v>2.7250000000000001</c:v>
                </c:pt>
                <c:pt idx="1735">
                  <c:v>2.17</c:v>
                </c:pt>
                <c:pt idx="1736">
                  <c:v>2.6349999999999998</c:v>
                </c:pt>
                <c:pt idx="1737">
                  <c:v>2.71</c:v>
                </c:pt>
                <c:pt idx="1738">
                  <c:v>2.7849999999999997</c:v>
                </c:pt>
                <c:pt idx="1739">
                  <c:v>2.3050000000000002</c:v>
                </c:pt>
                <c:pt idx="1740">
                  <c:v>1.885</c:v>
                </c:pt>
                <c:pt idx="1741">
                  <c:v>1.66</c:v>
                </c:pt>
                <c:pt idx="1742">
                  <c:v>2.35</c:v>
                </c:pt>
                <c:pt idx="1743">
                  <c:v>2.62</c:v>
                </c:pt>
                <c:pt idx="1744">
                  <c:v>2.3650000000000002</c:v>
                </c:pt>
                <c:pt idx="1745">
                  <c:v>2.5900000000000003</c:v>
                </c:pt>
                <c:pt idx="1746">
                  <c:v>2.86</c:v>
                </c:pt>
                <c:pt idx="1747">
                  <c:v>2.8</c:v>
                </c:pt>
                <c:pt idx="1748">
                  <c:v>2.8</c:v>
                </c:pt>
                <c:pt idx="1749">
                  <c:v>2.65</c:v>
                </c:pt>
                <c:pt idx="1750">
                  <c:v>2.5900000000000003</c:v>
                </c:pt>
                <c:pt idx="1751">
                  <c:v>2.65</c:v>
                </c:pt>
                <c:pt idx="1752">
                  <c:v>3.2199999999999998</c:v>
                </c:pt>
                <c:pt idx="1753">
                  <c:v>2.9350000000000001</c:v>
                </c:pt>
                <c:pt idx="1754">
                  <c:v>2.62</c:v>
                </c:pt>
                <c:pt idx="1755">
                  <c:v>3.1300000000000003</c:v>
                </c:pt>
                <c:pt idx="1756">
                  <c:v>2.9350000000000001</c:v>
                </c:pt>
                <c:pt idx="1757">
                  <c:v>2.9049999999999998</c:v>
                </c:pt>
                <c:pt idx="1758">
                  <c:v>2.5900000000000003</c:v>
                </c:pt>
                <c:pt idx="1759">
                  <c:v>2.1849999999999996</c:v>
                </c:pt>
                <c:pt idx="1760">
                  <c:v>2.4249999999999998</c:v>
                </c:pt>
                <c:pt idx="1761">
                  <c:v>2.2000000000000002</c:v>
                </c:pt>
                <c:pt idx="1762">
                  <c:v>1.27</c:v>
                </c:pt>
                <c:pt idx="1763">
                  <c:v>1.0599999999999998</c:v>
                </c:pt>
                <c:pt idx="1764">
                  <c:v>1.5549999999999999</c:v>
                </c:pt>
                <c:pt idx="1765">
                  <c:v>1.405</c:v>
                </c:pt>
                <c:pt idx="1766">
                  <c:v>2.2149999999999999</c:v>
                </c:pt>
                <c:pt idx="1767">
                  <c:v>2.5750000000000002</c:v>
                </c:pt>
                <c:pt idx="1768">
                  <c:v>2.6049999999999995</c:v>
                </c:pt>
                <c:pt idx="1769">
                  <c:v>2.2599999999999998</c:v>
                </c:pt>
                <c:pt idx="1770">
                  <c:v>2.5450000000000004</c:v>
                </c:pt>
                <c:pt idx="1771">
                  <c:v>2.14</c:v>
                </c:pt>
                <c:pt idx="1772">
                  <c:v>1.54</c:v>
                </c:pt>
                <c:pt idx="1773">
                  <c:v>2.1849999999999996</c:v>
                </c:pt>
                <c:pt idx="1774">
                  <c:v>2.4700000000000002</c:v>
                </c:pt>
                <c:pt idx="1775">
                  <c:v>2.35</c:v>
                </c:pt>
                <c:pt idx="1776">
                  <c:v>1.99</c:v>
                </c:pt>
                <c:pt idx="1777">
                  <c:v>2.11</c:v>
                </c:pt>
                <c:pt idx="1778">
                  <c:v>1.8099999999999998</c:v>
                </c:pt>
                <c:pt idx="1779">
                  <c:v>1.375</c:v>
                </c:pt>
                <c:pt idx="1780">
                  <c:v>1.7950000000000002</c:v>
                </c:pt>
                <c:pt idx="1781">
                  <c:v>2.1550000000000002</c:v>
                </c:pt>
                <c:pt idx="1782">
                  <c:v>2.1849999999999996</c:v>
                </c:pt>
                <c:pt idx="1783">
                  <c:v>2.0949999999999998</c:v>
                </c:pt>
                <c:pt idx="1784">
                  <c:v>1.615</c:v>
                </c:pt>
                <c:pt idx="1785">
                  <c:v>1.27</c:v>
                </c:pt>
                <c:pt idx="1786">
                  <c:v>2.0650000000000004</c:v>
                </c:pt>
                <c:pt idx="1787">
                  <c:v>1.5249999999999999</c:v>
                </c:pt>
                <c:pt idx="1788">
                  <c:v>2.1550000000000002</c:v>
                </c:pt>
                <c:pt idx="1789">
                  <c:v>2.29</c:v>
                </c:pt>
                <c:pt idx="1790">
                  <c:v>2.4700000000000002</c:v>
                </c:pt>
                <c:pt idx="1791">
                  <c:v>2.2000000000000002</c:v>
                </c:pt>
                <c:pt idx="1792">
                  <c:v>1.645</c:v>
                </c:pt>
                <c:pt idx="1793">
                  <c:v>1.7950000000000002</c:v>
                </c:pt>
                <c:pt idx="1794">
                  <c:v>2.0949999999999998</c:v>
                </c:pt>
                <c:pt idx="1795">
                  <c:v>2.29</c:v>
                </c:pt>
                <c:pt idx="1796">
                  <c:v>2.08</c:v>
                </c:pt>
                <c:pt idx="1797">
                  <c:v>1.7950000000000002</c:v>
                </c:pt>
                <c:pt idx="1798">
                  <c:v>2.17</c:v>
                </c:pt>
                <c:pt idx="1799">
                  <c:v>2.02</c:v>
                </c:pt>
                <c:pt idx="1800">
                  <c:v>1.93</c:v>
                </c:pt>
                <c:pt idx="1801">
                  <c:v>2.0350000000000001</c:v>
                </c:pt>
                <c:pt idx="1802">
                  <c:v>1.45</c:v>
                </c:pt>
                <c:pt idx="1803">
                  <c:v>1.0599999999999998</c:v>
                </c:pt>
                <c:pt idx="1804">
                  <c:v>1.7049999999999998</c:v>
                </c:pt>
                <c:pt idx="1805">
                  <c:v>2.2000000000000002</c:v>
                </c:pt>
                <c:pt idx="1806">
                  <c:v>2.29</c:v>
                </c:pt>
                <c:pt idx="1807">
                  <c:v>1.96</c:v>
                </c:pt>
                <c:pt idx="1808">
                  <c:v>1.645</c:v>
                </c:pt>
                <c:pt idx="1809">
                  <c:v>1.375</c:v>
                </c:pt>
                <c:pt idx="1810">
                  <c:v>1.3599999999999999</c:v>
                </c:pt>
                <c:pt idx="1811">
                  <c:v>1.405</c:v>
                </c:pt>
                <c:pt idx="1812">
                  <c:v>2.4099999999999997</c:v>
                </c:pt>
                <c:pt idx="1813">
                  <c:v>2.95</c:v>
                </c:pt>
                <c:pt idx="1814">
                  <c:v>2.9200000000000004</c:v>
                </c:pt>
                <c:pt idx="1815">
                  <c:v>2.7549999999999999</c:v>
                </c:pt>
                <c:pt idx="1816">
                  <c:v>2.665</c:v>
                </c:pt>
                <c:pt idx="1817">
                  <c:v>2.35</c:v>
                </c:pt>
                <c:pt idx="1818">
                  <c:v>1.3900000000000001</c:v>
                </c:pt>
                <c:pt idx="1819">
                  <c:v>1.48</c:v>
                </c:pt>
                <c:pt idx="1820">
                  <c:v>1.96</c:v>
                </c:pt>
                <c:pt idx="1821">
                  <c:v>2.6950000000000003</c:v>
                </c:pt>
                <c:pt idx="1822">
                  <c:v>2.6950000000000003</c:v>
                </c:pt>
                <c:pt idx="1823">
                  <c:v>2.6799999999999997</c:v>
                </c:pt>
                <c:pt idx="1824">
                  <c:v>2.125</c:v>
                </c:pt>
                <c:pt idx="1825">
                  <c:v>2.0650000000000004</c:v>
                </c:pt>
                <c:pt idx="1826">
                  <c:v>1.6</c:v>
                </c:pt>
                <c:pt idx="1827">
                  <c:v>1.48</c:v>
                </c:pt>
                <c:pt idx="1828">
                  <c:v>0.98499999999999976</c:v>
                </c:pt>
                <c:pt idx="1829">
                  <c:v>0.88</c:v>
                </c:pt>
                <c:pt idx="1830">
                  <c:v>0.86500000000000021</c:v>
                </c:pt>
                <c:pt idx="1831">
                  <c:v>0.83499999999999974</c:v>
                </c:pt>
                <c:pt idx="1832">
                  <c:v>1.075</c:v>
                </c:pt>
                <c:pt idx="1833">
                  <c:v>1.27</c:v>
                </c:pt>
                <c:pt idx="1834">
                  <c:v>0.86500000000000021</c:v>
                </c:pt>
                <c:pt idx="1835">
                  <c:v>1.345</c:v>
                </c:pt>
                <c:pt idx="1836">
                  <c:v>2.17</c:v>
                </c:pt>
                <c:pt idx="1837">
                  <c:v>1.7349999999999999</c:v>
                </c:pt>
                <c:pt idx="1838">
                  <c:v>0.97000000000000008</c:v>
                </c:pt>
                <c:pt idx="1839">
                  <c:v>0.79000000000000026</c:v>
                </c:pt>
                <c:pt idx="1840">
                  <c:v>0.82000000000000006</c:v>
                </c:pt>
                <c:pt idx="1841">
                  <c:v>1.1349999999999998</c:v>
                </c:pt>
                <c:pt idx="1842">
                  <c:v>1.51</c:v>
                </c:pt>
                <c:pt idx="1843">
                  <c:v>1.27</c:v>
                </c:pt>
                <c:pt idx="1844">
                  <c:v>1.1950000000000001</c:v>
                </c:pt>
                <c:pt idx="1845">
                  <c:v>0.98499999999999976</c:v>
                </c:pt>
                <c:pt idx="1846">
                  <c:v>0.65499999999999992</c:v>
                </c:pt>
                <c:pt idx="1847">
                  <c:v>1.3</c:v>
                </c:pt>
                <c:pt idx="1848">
                  <c:v>1.3900000000000001</c:v>
                </c:pt>
                <c:pt idx="1849">
                  <c:v>0.77500000000000002</c:v>
                </c:pt>
                <c:pt idx="1850">
                  <c:v>0.34000000000000019</c:v>
                </c:pt>
                <c:pt idx="1851">
                  <c:v>0.6399999999999999</c:v>
                </c:pt>
                <c:pt idx="1852">
                  <c:v>0.71500000000000019</c:v>
                </c:pt>
                <c:pt idx="1853">
                  <c:v>0.89500000000000002</c:v>
                </c:pt>
                <c:pt idx="1854">
                  <c:v>1.27</c:v>
                </c:pt>
                <c:pt idx="1855">
                  <c:v>1.27</c:v>
                </c:pt>
                <c:pt idx="1856">
                  <c:v>1.0299999999999998</c:v>
                </c:pt>
                <c:pt idx="1857">
                  <c:v>1.6</c:v>
                </c:pt>
                <c:pt idx="1858">
                  <c:v>1.51</c:v>
                </c:pt>
                <c:pt idx="1859">
                  <c:v>1.075</c:v>
                </c:pt>
                <c:pt idx="1860">
                  <c:v>0.65499999999999992</c:v>
                </c:pt>
                <c:pt idx="1861">
                  <c:v>0.26500000000000024</c:v>
                </c:pt>
                <c:pt idx="1862">
                  <c:v>0.32500000000000001</c:v>
                </c:pt>
                <c:pt idx="1863">
                  <c:v>1.2849999999999997</c:v>
                </c:pt>
                <c:pt idx="1864">
                  <c:v>1.87</c:v>
                </c:pt>
                <c:pt idx="1865">
                  <c:v>1.5549999999999999</c:v>
                </c:pt>
                <c:pt idx="1866">
                  <c:v>1.2400000000000002</c:v>
                </c:pt>
                <c:pt idx="1867">
                  <c:v>1.2549999999999999</c:v>
                </c:pt>
                <c:pt idx="1868">
                  <c:v>1.1200000000000001</c:v>
                </c:pt>
                <c:pt idx="1869">
                  <c:v>0.75999999999999979</c:v>
                </c:pt>
                <c:pt idx="1870">
                  <c:v>0.55000000000000004</c:v>
                </c:pt>
                <c:pt idx="1871">
                  <c:v>0.25</c:v>
                </c:pt>
                <c:pt idx="1872">
                  <c:v>0.6399999999999999</c:v>
                </c:pt>
                <c:pt idx="1873">
                  <c:v>0.6399999999999999</c:v>
                </c:pt>
                <c:pt idx="1874">
                  <c:v>0.67000000000000015</c:v>
                </c:pt>
                <c:pt idx="1875">
                  <c:v>0.71500000000000019</c:v>
                </c:pt>
                <c:pt idx="1876">
                  <c:v>1.0299999999999998</c:v>
                </c:pt>
                <c:pt idx="1877">
                  <c:v>1.105</c:v>
                </c:pt>
                <c:pt idx="1878">
                  <c:v>0.89500000000000002</c:v>
                </c:pt>
                <c:pt idx="1879">
                  <c:v>0.72999999999999987</c:v>
                </c:pt>
                <c:pt idx="1880">
                  <c:v>0.94000000000000017</c:v>
                </c:pt>
                <c:pt idx="1881">
                  <c:v>0.77500000000000002</c:v>
                </c:pt>
                <c:pt idx="1882">
                  <c:v>0.83499999999999974</c:v>
                </c:pt>
                <c:pt idx="1883">
                  <c:v>0.98499999999999976</c:v>
                </c:pt>
                <c:pt idx="1884">
                  <c:v>0.4</c:v>
                </c:pt>
                <c:pt idx="1885">
                  <c:v>0.52000000000000013</c:v>
                </c:pt>
                <c:pt idx="1886">
                  <c:v>0.25</c:v>
                </c:pt>
                <c:pt idx="1887">
                  <c:v>0.41499999999999992</c:v>
                </c:pt>
                <c:pt idx="1888">
                  <c:v>0.625</c:v>
                </c:pt>
                <c:pt idx="1889">
                  <c:v>0.7</c:v>
                </c:pt>
                <c:pt idx="1890">
                  <c:v>0.6100000000000001</c:v>
                </c:pt>
                <c:pt idx="1891">
                  <c:v>0.7</c:v>
                </c:pt>
                <c:pt idx="1892">
                  <c:v>0.53500000000000003</c:v>
                </c:pt>
                <c:pt idx="1893">
                  <c:v>0.625</c:v>
                </c:pt>
                <c:pt idx="1894">
                  <c:v>0.26500000000000024</c:v>
                </c:pt>
                <c:pt idx="1895">
                  <c:v>0.25</c:v>
                </c:pt>
                <c:pt idx="1896">
                  <c:v>0.25</c:v>
                </c:pt>
                <c:pt idx="1897">
                  <c:v>0.25</c:v>
                </c:pt>
                <c:pt idx="1898">
                  <c:v>0.25</c:v>
                </c:pt>
                <c:pt idx="1899">
                  <c:v>0.25</c:v>
                </c:pt>
                <c:pt idx="1900">
                  <c:v>0.25</c:v>
                </c:pt>
                <c:pt idx="1901">
                  <c:v>0.25</c:v>
                </c:pt>
                <c:pt idx="1902">
                  <c:v>0.42999999999999988</c:v>
                </c:pt>
                <c:pt idx="1903">
                  <c:v>0.48999999999999994</c:v>
                </c:pt>
                <c:pt idx="1904">
                  <c:v>0.25</c:v>
                </c:pt>
                <c:pt idx="1905">
                  <c:v>0.25</c:v>
                </c:pt>
                <c:pt idx="1906">
                  <c:v>0.25</c:v>
                </c:pt>
                <c:pt idx="1907">
                  <c:v>0.50499999999999989</c:v>
                </c:pt>
                <c:pt idx="1908">
                  <c:v>0.25</c:v>
                </c:pt>
                <c:pt idx="1909">
                  <c:v>0.25</c:v>
                </c:pt>
                <c:pt idx="1910">
                  <c:v>0.25</c:v>
                </c:pt>
                <c:pt idx="1911">
                  <c:v>0.25</c:v>
                </c:pt>
                <c:pt idx="1912">
                  <c:v>0.25</c:v>
                </c:pt>
                <c:pt idx="1913">
                  <c:v>0.25</c:v>
                </c:pt>
                <c:pt idx="1914">
                  <c:v>0.25</c:v>
                </c:pt>
                <c:pt idx="1915">
                  <c:v>0.25</c:v>
                </c:pt>
                <c:pt idx="1916">
                  <c:v>0.25</c:v>
                </c:pt>
                <c:pt idx="1917">
                  <c:v>0.25</c:v>
                </c:pt>
                <c:pt idx="1918">
                  <c:v>0.25</c:v>
                </c:pt>
                <c:pt idx="1919">
                  <c:v>0.25</c:v>
                </c:pt>
                <c:pt idx="1920">
                  <c:v>0.50499999999999989</c:v>
                </c:pt>
                <c:pt idx="1921">
                  <c:v>0.57999999999999985</c:v>
                </c:pt>
                <c:pt idx="1922">
                  <c:v>0.25</c:v>
                </c:pt>
                <c:pt idx="1923">
                  <c:v>0.25</c:v>
                </c:pt>
                <c:pt idx="1924">
                  <c:v>0.47499999999999998</c:v>
                </c:pt>
                <c:pt idx="1925">
                  <c:v>0.48999999999999994</c:v>
                </c:pt>
                <c:pt idx="1926">
                  <c:v>0.35499999999999987</c:v>
                </c:pt>
                <c:pt idx="1927">
                  <c:v>0.25</c:v>
                </c:pt>
                <c:pt idx="1928">
                  <c:v>0.25</c:v>
                </c:pt>
                <c:pt idx="1929">
                  <c:v>0.52000000000000013</c:v>
                </c:pt>
                <c:pt idx="1930">
                  <c:v>0.44500000000000012</c:v>
                </c:pt>
                <c:pt idx="1931">
                  <c:v>0.25</c:v>
                </c:pt>
                <c:pt idx="1932">
                  <c:v>0.25</c:v>
                </c:pt>
                <c:pt idx="1933">
                  <c:v>0.25</c:v>
                </c:pt>
                <c:pt idx="1934">
                  <c:v>0.25</c:v>
                </c:pt>
                <c:pt idx="1935">
                  <c:v>0.25</c:v>
                </c:pt>
                <c:pt idx="1936">
                  <c:v>0.25</c:v>
                </c:pt>
                <c:pt idx="1937">
                  <c:v>0.25</c:v>
                </c:pt>
                <c:pt idx="1938">
                  <c:v>0.25</c:v>
                </c:pt>
                <c:pt idx="1939">
                  <c:v>0.25</c:v>
                </c:pt>
                <c:pt idx="1940">
                  <c:v>0.25</c:v>
                </c:pt>
                <c:pt idx="1941">
                  <c:v>0.25</c:v>
                </c:pt>
                <c:pt idx="1942">
                  <c:v>0.25</c:v>
                </c:pt>
                <c:pt idx="1943">
                  <c:v>0.25</c:v>
                </c:pt>
                <c:pt idx="1944">
                  <c:v>0.25</c:v>
                </c:pt>
                <c:pt idx="1945">
                  <c:v>0.25</c:v>
                </c:pt>
                <c:pt idx="1946">
                  <c:v>0.25</c:v>
                </c:pt>
                <c:pt idx="1947">
                  <c:v>0.30999999999999978</c:v>
                </c:pt>
                <c:pt idx="1948">
                  <c:v>0.53500000000000003</c:v>
                </c:pt>
                <c:pt idx="1949">
                  <c:v>0.25</c:v>
                </c:pt>
                <c:pt idx="1950">
                  <c:v>0.25</c:v>
                </c:pt>
                <c:pt idx="1951">
                  <c:v>0.25</c:v>
                </c:pt>
                <c:pt idx="1952">
                  <c:v>0.25</c:v>
                </c:pt>
                <c:pt idx="1953">
                  <c:v>0.25</c:v>
                </c:pt>
                <c:pt idx="1954">
                  <c:v>0.25</c:v>
                </c:pt>
                <c:pt idx="1955">
                  <c:v>0.25</c:v>
                </c:pt>
                <c:pt idx="1956">
                  <c:v>0.25</c:v>
                </c:pt>
                <c:pt idx="1957">
                  <c:v>0.25</c:v>
                </c:pt>
                <c:pt idx="1958">
                  <c:v>0.25</c:v>
                </c:pt>
                <c:pt idx="1959">
                  <c:v>0.25</c:v>
                </c:pt>
                <c:pt idx="1960">
                  <c:v>0.25</c:v>
                </c:pt>
                <c:pt idx="1961">
                  <c:v>0.25</c:v>
                </c:pt>
                <c:pt idx="1962">
                  <c:v>0.25</c:v>
                </c:pt>
                <c:pt idx="1963">
                  <c:v>0.25</c:v>
                </c:pt>
                <c:pt idx="1964">
                  <c:v>0.25</c:v>
                </c:pt>
                <c:pt idx="1965">
                  <c:v>0.25</c:v>
                </c:pt>
                <c:pt idx="1966">
                  <c:v>0.25</c:v>
                </c:pt>
                <c:pt idx="1967">
                  <c:v>0.25</c:v>
                </c:pt>
                <c:pt idx="1968">
                  <c:v>0.25</c:v>
                </c:pt>
                <c:pt idx="1969">
                  <c:v>0.25</c:v>
                </c:pt>
                <c:pt idx="1970">
                  <c:v>0.25</c:v>
                </c:pt>
                <c:pt idx="1971">
                  <c:v>0.25</c:v>
                </c:pt>
                <c:pt idx="1972">
                  <c:v>0.25</c:v>
                </c:pt>
                <c:pt idx="1973">
                  <c:v>0.25</c:v>
                </c:pt>
                <c:pt idx="1974">
                  <c:v>0.32500000000000001</c:v>
                </c:pt>
                <c:pt idx="1975">
                  <c:v>0.44500000000000012</c:v>
                </c:pt>
                <c:pt idx="1976">
                  <c:v>0.72999999999999987</c:v>
                </c:pt>
                <c:pt idx="1977">
                  <c:v>0.7</c:v>
                </c:pt>
                <c:pt idx="1978">
                  <c:v>0.37000000000000011</c:v>
                </c:pt>
                <c:pt idx="1979">
                  <c:v>0.25</c:v>
                </c:pt>
                <c:pt idx="1980">
                  <c:v>0.25</c:v>
                </c:pt>
                <c:pt idx="1981">
                  <c:v>0.44500000000000012</c:v>
                </c:pt>
                <c:pt idx="1982">
                  <c:v>0.50499999999999989</c:v>
                </c:pt>
                <c:pt idx="1983">
                  <c:v>0.38499999999999979</c:v>
                </c:pt>
                <c:pt idx="1984">
                  <c:v>0.25</c:v>
                </c:pt>
                <c:pt idx="1985">
                  <c:v>0.32500000000000001</c:v>
                </c:pt>
                <c:pt idx="1986">
                  <c:v>0.38499999999999979</c:v>
                </c:pt>
                <c:pt idx="1987">
                  <c:v>0.25</c:v>
                </c:pt>
                <c:pt idx="1988">
                  <c:v>0.25</c:v>
                </c:pt>
                <c:pt idx="1989">
                  <c:v>0.25</c:v>
                </c:pt>
                <c:pt idx="1990">
                  <c:v>0.25</c:v>
                </c:pt>
                <c:pt idx="1991">
                  <c:v>0.25</c:v>
                </c:pt>
                <c:pt idx="1992">
                  <c:v>0.25</c:v>
                </c:pt>
                <c:pt idx="1993">
                  <c:v>0.92500000000000004</c:v>
                </c:pt>
                <c:pt idx="1994">
                  <c:v>0.80499999999999994</c:v>
                </c:pt>
                <c:pt idx="1995">
                  <c:v>0.47499999999999998</c:v>
                </c:pt>
                <c:pt idx="1996">
                  <c:v>0.34000000000000019</c:v>
                </c:pt>
                <c:pt idx="1997">
                  <c:v>0.25</c:v>
                </c:pt>
                <c:pt idx="1998">
                  <c:v>0.25</c:v>
                </c:pt>
                <c:pt idx="1999">
                  <c:v>0.25</c:v>
                </c:pt>
                <c:pt idx="2000">
                  <c:v>0.82000000000000006</c:v>
                </c:pt>
                <c:pt idx="2001">
                  <c:v>1.7049999999999998</c:v>
                </c:pt>
                <c:pt idx="2002">
                  <c:v>1.4349999999999998</c:v>
                </c:pt>
                <c:pt idx="2003">
                  <c:v>1.7049999999999998</c:v>
                </c:pt>
                <c:pt idx="2004">
                  <c:v>1.2099999999999997</c:v>
                </c:pt>
                <c:pt idx="2005">
                  <c:v>1.075</c:v>
                </c:pt>
                <c:pt idx="2006">
                  <c:v>0.98499999999999976</c:v>
                </c:pt>
                <c:pt idx="2007">
                  <c:v>0.83499999999999974</c:v>
                </c:pt>
                <c:pt idx="2008">
                  <c:v>0.25</c:v>
                </c:pt>
                <c:pt idx="2009">
                  <c:v>0.68500000000000005</c:v>
                </c:pt>
                <c:pt idx="2010">
                  <c:v>1.0900000000000003</c:v>
                </c:pt>
                <c:pt idx="2011">
                  <c:v>0.95499999999999996</c:v>
                </c:pt>
                <c:pt idx="2012">
                  <c:v>0.98499999999999976</c:v>
                </c:pt>
                <c:pt idx="2013">
                  <c:v>0.92500000000000004</c:v>
                </c:pt>
                <c:pt idx="2014">
                  <c:v>0.52000000000000013</c:v>
                </c:pt>
                <c:pt idx="2015">
                  <c:v>1.105</c:v>
                </c:pt>
                <c:pt idx="2016">
                  <c:v>1.87</c:v>
                </c:pt>
                <c:pt idx="2017">
                  <c:v>1.63</c:v>
                </c:pt>
                <c:pt idx="2018">
                  <c:v>1.825</c:v>
                </c:pt>
                <c:pt idx="2019">
                  <c:v>1.7650000000000001</c:v>
                </c:pt>
                <c:pt idx="2020">
                  <c:v>1.4200000000000002</c:v>
                </c:pt>
                <c:pt idx="2021">
                  <c:v>1.5549999999999999</c:v>
                </c:pt>
                <c:pt idx="2022">
                  <c:v>1.7049999999999998</c:v>
                </c:pt>
                <c:pt idx="2023">
                  <c:v>1.615</c:v>
                </c:pt>
                <c:pt idx="2024">
                  <c:v>1.54</c:v>
                </c:pt>
                <c:pt idx="2025">
                  <c:v>1.7349999999999999</c:v>
                </c:pt>
                <c:pt idx="2026">
                  <c:v>1.4650000000000001</c:v>
                </c:pt>
                <c:pt idx="2027">
                  <c:v>1.0900000000000003</c:v>
                </c:pt>
                <c:pt idx="2028">
                  <c:v>0.92500000000000004</c:v>
                </c:pt>
                <c:pt idx="2029">
                  <c:v>0.82000000000000006</c:v>
                </c:pt>
                <c:pt idx="2030">
                  <c:v>1.48</c:v>
                </c:pt>
                <c:pt idx="2031">
                  <c:v>1.1650000000000003</c:v>
                </c:pt>
                <c:pt idx="2032">
                  <c:v>1.6</c:v>
                </c:pt>
                <c:pt idx="2033">
                  <c:v>1.78</c:v>
                </c:pt>
                <c:pt idx="2034">
                  <c:v>1.54</c:v>
                </c:pt>
                <c:pt idx="2035">
                  <c:v>1.2549999999999999</c:v>
                </c:pt>
                <c:pt idx="2036">
                  <c:v>0.90999999999999981</c:v>
                </c:pt>
                <c:pt idx="2037">
                  <c:v>1.3299999999999998</c:v>
                </c:pt>
                <c:pt idx="2038">
                  <c:v>0.52000000000000013</c:v>
                </c:pt>
                <c:pt idx="2039">
                  <c:v>0.79000000000000026</c:v>
                </c:pt>
                <c:pt idx="2040">
                  <c:v>1.4349999999999998</c:v>
                </c:pt>
                <c:pt idx="2041">
                  <c:v>1.99</c:v>
                </c:pt>
                <c:pt idx="2042">
                  <c:v>2.335</c:v>
                </c:pt>
                <c:pt idx="2043">
                  <c:v>2.5150000000000001</c:v>
                </c:pt>
                <c:pt idx="2044">
                  <c:v>2.4249999999999998</c:v>
                </c:pt>
                <c:pt idx="2045">
                  <c:v>2.3199999999999998</c:v>
                </c:pt>
                <c:pt idx="2046">
                  <c:v>2.14</c:v>
                </c:pt>
                <c:pt idx="2047">
                  <c:v>2.0650000000000004</c:v>
                </c:pt>
                <c:pt idx="2048">
                  <c:v>1.99</c:v>
                </c:pt>
                <c:pt idx="2049">
                  <c:v>1.7349999999999999</c:v>
                </c:pt>
                <c:pt idx="2050">
                  <c:v>1.51</c:v>
                </c:pt>
                <c:pt idx="2051">
                  <c:v>1.99</c:v>
                </c:pt>
                <c:pt idx="2052">
                  <c:v>1.63</c:v>
                </c:pt>
                <c:pt idx="2053">
                  <c:v>1.3599999999999999</c:v>
                </c:pt>
                <c:pt idx="2054">
                  <c:v>1.4650000000000001</c:v>
                </c:pt>
                <c:pt idx="2055">
                  <c:v>1.7650000000000001</c:v>
                </c:pt>
                <c:pt idx="2056">
                  <c:v>2.2749999999999999</c:v>
                </c:pt>
                <c:pt idx="2057">
                  <c:v>2.74</c:v>
                </c:pt>
                <c:pt idx="2058">
                  <c:v>2.35</c:v>
                </c:pt>
                <c:pt idx="2059">
                  <c:v>2.08</c:v>
                </c:pt>
                <c:pt idx="2060">
                  <c:v>2.9049999999999998</c:v>
                </c:pt>
                <c:pt idx="2061">
                  <c:v>2.8149999999999999</c:v>
                </c:pt>
                <c:pt idx="2062">
                  <c:v>2.86</c:v>
                </c:pt>
                <c:pt idx="2063">
                  <c:v>2.8149999999999999</c:v>
                </c:pt>
                <c:pt idx="2064">
                  <c:v>2.7250000000000001</c:v>
                </c:pt>
                <c:pt idx="2065">
                  <c:v>2.56</c:v>
                </c:pt>
                <c:pt idx="2066">
                  <c:v>2.7250000000000001</c:v>
                </c:pt>
                <c:pt idx="2067">
                  <c:v>2.9950000000000001</c:v>
                </c:pt>
                <c:pt idx="2068">
                  <c:v>3.0700000000000003</c:v>
                </c:pt>
                <c:pt idx="2069">
                  <c:v>3.0700000000000003</c:v>
                </c:pt>
                <c:pt idx="2070">
                  <c:v>2.6349999999999998</c:v>
                </c:pt>
                <c:pt idx="2071">
                  <c:v>2.08</c:v>
                </c:pt>
                <c:pt idx="2072">
                  <c:v>1.4650000000000001</c:v>
                </c:pt>
                <c:pt idx="2073">
                  <c:v>1.75</c:v>
                </c:pt>
                <c:pt idx="2074">
                  <c:v>2.1849999999999996</c:v>
                </c:pt>
                <c:pt idx="2075">
                  <c:v>2.08</c:v>
                </c:pt>
                <c:pt idx="2076">
                  <c:v>2.2749999999999999</c:v>
                </c:pt>
                <c:pt idx="2077">
                  <c:v>2.4849999999999999</c:v>
                </c:pt>
                <c:pt idx="2078">
                  <c:v>2.4549999999999996</c:v>
                </c:pt>
                <c:pt idx="2079">
                  <c:v>2.2149999999999999</c:v>
                </c:pt>
                <c:pt idx="2080">
                  <c:v>2.125</c:v>
                </c:pt>
                <c:pt idx="2081">
                  <c:v>2.3050000000000002</c:v>
                </c:pt>
                <c:pt idx="2082">
                  <c:v>2.3650000000000002</c:v>
                </c:pt>
                <c:pt idx="2083">
                  <c:v>2.4849999999999999</c:v>
                </c:pt>
                <c:pt idx="2084">
                  <c:v>2.5150000000000001</c:v>
                </c:pt>
                <c:pt idx="2085">
                  <c:v>2.5750000000000002</c:v>
                </c:pt>
                <c:pt idx="2086">
                  <c:v>2.5450000000000004</c:v>
                </c:pt>
                <c:pt idx="2087">
                  <c:v>2.4249999999999998</c:v>
                </c:pt>
                <c:pt idx="2088">
                  <c:v>1.66</c:v>
                </c:pt>
                <c:pt idx="2089">
                  <c:v>1.2400000000000002</c:v>
                </c:pt>
                <c:pt idx="2090">
                  <c:v>1.615</c:v>
                </c:pt>
                <c:pt idx="2091">
                  <c:v>2.4849999999999999</c:v>
                </c:pt>
                <c:pt idx="2092">
                  <c:v>2.74</c:v>
                </c:pt>
                <c:pt idx="2093">
                  <c:v>2.9799999999999995</c:v>
                </c:pt>
                <c:pt idx="2094">
                  <c:v>2.62</c:v>
                </c:pt>
                <c:pt idx="2095">
                  <c:v>2.3650000000000002</c:v>
                </c:pt>
                <c:pt idx="2096">
                  <c:v>2.665</c:v>
                </c:pt>
                <c:pt idx="2097">
                  <c:v>2.74</c:v>
                </c:pt>
                <c:pt idx="2098">
                  <c:v>3.01</c:v>
                </c:pt>
                <c:pt idx="2099">
                  <c:v>3.0549999999999997</c:v>
                </c:pt>
                <c:pt idx="2100">
                  <c:v>2.5450000000000004</c:v>
                </c:pt>
                <c:pt idx="2101">
                  <c:v>2.4249999999999998</c:v>
                </c:pt>
                <c:pt idx="2102">
                  <c:v>2.62</c:v>
                </c:pt>
                <c:pt idx="2103">
                  <c:v>2.7700000000000005</c:v>
                </c:pt>
                <c:pt idx="2104">
                  <c:v>2.8</c:v>
                </c:pt>
                <c:pt idx="2105">
                  <c:v>2.8149999999999999</c:v>
                </c:pt>
                <c:pt idx="2106">
                  <c:v>2.86</c:v>
                </c:pt>
                <c:pt idx="2107">
                  <c:v>2.9049999999999998</c:v>
                </c:pt>
                <c:pt idx="2108">
                  <c:v>3.2349999999999999</c:v>
                </c:pt>
                <c:pt idx="2109">
                  <c:v>2.89</c:v>
                </c:pt>
                <c:pt idx="2110">
                  <c:v>2.6950000000000003</c:v>
                </c:pt>
                <c:pt idx="2111">
                  <c:v>2.86</c:v>
                </c:pt>
                <c:pt idx="2112">
                  <c:v>2.9650000000000003</c:v>
                </c:pt>
                <c:pt idx="2113">
                  <c:v>3.46</c:v>
                </c:pt>
                <c:pt idx="2114">
                  <c:v>3.4750000000000001</c:v>
                </c:pt>
                <c:pt idx="2115">
                  <c:v>3.1</c:v>
                </c:pt>
                <c:pt idx="2116">
                  <c:v>2.5</c:v>
                </c:pt>
                <c:pt idx="2117">
                  <c:v>2.14</c:v>
                </c:pt>
                <c:pt idx="2118">
                  <c:v>2.4700000000000002</c:v>
                </c:pt>
                <c:pt idx="2119">
                  <c:v>1.885</c:v>
                </c:pt>
                <c:pt idx="2120">
                  <c:v>2.4099999999999997</c:v>
                </c:pt>
                <c:pt idx="2121">
                  <c:v>2.6950000000000003</c:v>
                </c:pt>
                <c:pt idx="2122">
                  <c:v>2.71</c:v>
                </c:pt>
                <c:pt idx="2123">
                  <c:v>2.9350000000000001</c:v>
                </c:pt>
                <c:pt idx="2124">
                  <c:v>2.8450000000000002</c:v>
                </c:pt>
                <c:pt idx="2125">
                  <c:v>2.62</c:v>
                </c:pt>
                <c:pt idx="2126">
                  <c:v>2.71</c:v>
                </c:pt>
                <c:pt idx="2127">
                  <c:v>2.65</c:v>
                </c:pt>
                <c:pt idx="2128">
                  <c:v>3.3250000000000002</c:v>
                </c:pt>
                <c:pt idx="2129">
                  <c:v>3.1749999999999998</c:v>
                </c:pt>
                <c:pt idx="2130">
                  <c:v>2.23</c:v>
                </c:pt>
                <c:pt idx="2131">
                  <c:v>1.57</c:v>
                </c:pt>
                <c:pt idx="2132">
                  <c:v>1.75</c:v>
                </c:pt>
                <c:pt idx="2133">
                  <c:v>2.5299999999999998</c:v>
                </c:pt>
                <c:pt idx="2134">
                  <c:v>2.7849999999999997</c:v>
                </c:pt>
                <c:pt idx="2135">
                  <c:v>3.4750000000000001</c:v>
                </c:pt>
                <c:pt idx="2136">
                  <c:v>3.85</c:v>
                </c:pt>
                <c:pt idx="2137">
                  <c:v>4</c:v>
                </c:pt>
                <c:pt idx="2138">
                  <c:v>4.2549999999999999</c:v>
                </c:pt>
                <c:pt idx="2139">
                  <c:v>3.9099999999999997</c:v>
                </c:pt>
                <c:pt idx="2140">
                  <c:v>4.165</c:v>
                </c:pt>
                <c:pt idx="2141">
                  <c:v>3.895</c:v>
                </c:pt>
                <c:pt idx="2142">
                  <c:v>4.1349999999999998</c:v>
                </c:pt>
                <c:pt idx="2143">
                  <c:v>4.5250000000000004</c:v>
                </c:pt>
                <c:pt idx="2144">
                  <c:v>3.1749999999999998</c:v>
                </c:pt>
                <c:pt idx="2145">
                  <c:v>2.2749999999999999</c:v>
                </c:pt>
                <c:pt idx="2146">
                  <c:v>2.0499999999999998</c:v>
                </c:pt>
                <c:pt idx="2147">
                  <c:v>2.0650000000000004</c:v>
                </c:pt>
                <c:pt idx="2148">
                  <c:v>2.44</c:v>
                </c:pt>
                <c:pt idx="2149">
                  <c:v>2.3950000000000005</c:v>
                </c:pt>
                <c:pt idx="2150">
                  <c:v>2.2450000000000001</c:v>
                </c:pt>
                <c:pt idx="2151">
                  <c:v>2.6799999999999997</c:v>
                </c:pt>
                <c:pt idx="2152">
                  <c:v>2.5</c:v>
                </c:pt>
                <c:pt idx="2153">
                  <c:v>2.38</c:v>
                </c:pt>
                <c:pt idx="2154">
                  <c:v>2.335</c:v>
                </c:pt>
                <c:pt idx="2155">
                  <c:v>2.2599999999999998</c:v>
                </c:pt>
                <c:pt idx="2156">
                  <c:v>2.14</c:v>
                </c:pt>
                <c:pt idx="2157">
                  <c:v>2.5</c:v>
                </c:pt>
                <c:pt idx="2158">
                  <c:v>2.74</c:v>
                </c:pt>
                <c:pt idx="2159">
                  <c:v>2.665</c:v>
                </c:pt>
                <c:pt idx="2160">
                  <c:v>2.14</c:v>
                </c:pt>
                <c:pt idx="2161">
                  <c:v>2.65</c:v>
                </c:pt>
                <c:pt idx="2162">
                  <c:v>2.8149999999999999</c:v>
                </c:pt>
                <c:pt idx="2163">
                  <c:v>2.74</c:v>
                </c:pt>
                <c:pt idx="2164">
                  <c:v>2.74</c:v>
                </c:pt>
                <c:pt idx="2165">
                  <c:v>2.9650000000000003</c:v>
                </c:pt>
                <c:pt idx="2166">
                  <c:v>2.6349999999999998</c:v>
                </c:pt>
                <c:pt idx="2167">
                  <c:v>1.9450000000000001</c:v>
                </c:pt>
                <c:pt idx="2168">
                  <c:v>1.84</c:v>
                </c:pt>
                <c:pt idx="2169">
                  <c:v>1.7349999999999999</c:v>
                </c:pt>
                <c:pt idx="2170">
                  <c:v>2.08</c:v>
                </c:pt>
                <c:pt idx="2171">
                  <c:v>2.2749999999999999</c:v>
                </c:pt>
                <c:pt idx="2172">
                  <c:v>2.29</c:v>
                </c:pt>
                <c:pt idx="2173">
                  <c:v>2.56</c:v>
                </c:pt>
                <c:pt idx="2174">
                  <c:v>2.4849999999999999</c:v>
                </c:pt>
                <c:pt idx="2175">
                  <c:v>2.665</c:v>
                </c:pt>
                <c:pt idx="2176">
                  <c:v>3.1300000000000003</c:v>
                </c:pt>
                <c:pt idx="2177">
                  <c:v>2.5</c:v>
                </c:pt>
                <c:pt idx="2178">
                  <c:v>2.2599999999999998</c:v>
                </c:pt>
                <c:pt idx="2179">
                  <c:v>2.2149999999999999</c:v>
                </c:pt>
                <c:pt idx="2180">
                  <c:v>1.84</c:v>
                </c:pt>
                <c:pt idx="2181">
                  <c:v>1.675</c:v>
                </c:pt>
                <c:pt idx="2182">
                  <c:v>1.2400000000000002</c:v>
                </c:pt>
                <c:pt idx="2183">
                  <c:v>1.63</c:v>
                </c:pt>
                <c:pt idx="2184">
                  <c:v>1.75</c:v>
                </c:pt>
                <c:pt idx="2185">
                  <c:v>1.0299999999999998</c:v>
                </c:pt>
                <c:pt idx="2186">
                  <c:v>0.80499999999999994</c:v>
                </c:pt>
                <c:pt idx="2187">
                  <c:v>0.67000000000000015</c:v>
                </c:pt>
                <c:pt idx="2188">
                  <c:v>0.7</c:v>
                </c:pt>
                <c:pt idx="2189">
                  <c:v>1.72</c:v>
                </c:pt>
                <c:pt idx="2190">
                  <c:v>2.0350000000000001</c:v>
                </c:pt>
                <c:pt idx="2191">
                  <c:v>2.125</c:v>
                </c:pt>
                <c:pt idx="2192">
                  <c:v>2.11</c:v>
                </c:pt>
                <c:pt idx="2193">
                  <c:v>2.7700000000000005</c:v>
                </c:pt>
                <c:pt idx="2194">
                  <c:v>2.5150000000000001</c:v>
                </c:pt>
                <c:pt idx="2195">
                  <c:v>2.3199999999999998</c:v>
                </c:pt>
                <c:pt idx="2196">
                  <c:v>1.96</c:v>
                </c:pt>
                <c:pt idx="2197">
                  <c:v>1.3599999999999999</c:v>
                </c:pt>
                <c:pt idx="2198">
                  <c:v>1.0449999999999999</c:v>
                </c:pt>
                <c:pt idx="2199">
                  <c:v>2.1550000000000002</c:v>
                </c:pt>
                <c:pt idx="2200">
                  <c:v>2.2000000000000002</c:v>
                </c:pt>
                <c:pt idx="2201">
                  <c:v>2.23</c:v>
                </c:pt>
                <c:pt idx="2202">
                  <c:v>2.5</c:v>
                </c:pt>
                <c:pt idx="2203">
                  <c:v>2.4249999999999998</c:v>
                </c:pt>
                <c:pt idx="2204">
                  <c:v>2.2450000000000001</c:v>
                </c:pt>
                <c:pt idx="2205">
                  <c:v>1.7650000000000001</c:v>
                </c:pt>
                <c:pt idx="2206">
                  <c:v>1.6</c:v>
                </c:pt>
                <c:pt idx="2207">
                  <c:v>1.345</c:v>
                </c:pt>
                <c:pt idx="2208">
                  <c:v>1.27</c:v>
                </c:pt>
                <c:pt idx="2209">
                  <c:v>1.72</c:v>
                </c:pt>
                <c:pt idx="2210">
                  <c:v>1.78</c:v>
                </c:pt>
                <c:pt idx="2211">
                  <c:v>1.7049999999999998</c:v>
                </c:pt>
                <c:pt idx="2212">
                  <c:v>1.7650000000000001</c:v>
                </c:pt>
                <c:pt idx="2213">
                  <c:v>2.02</c:v>
                </c:pt>
                <c:pt idx="2214">
                  <c:v>1.7650000000000001</c:v>
                </c:pt>
                <c:pt idx="2215">
                  <c:v>1.1650000000000003</c:v>
                </c:pt>
                <c:pt idx="2216">
                  <c:v>0.89500000000000002</c:v>
                </c:pt>
                <c:pt idx="2217">
                  <c:v>1.0599999999999998</c:v>
                </c:pt>
                <c:pt idx="2218">
                  <c:v>1.3299999999999998</c:v>
                </c:pt>
                <c:pt idx="2219">
                  <c:v>1.63</c:v>
                </c:pt>
                <c:pt idx="2220">
                  <c:v>1.66</c:v>
                </c:pt>
                <c:pt idx="2221">
                  <c:v>1.1499999999999999</c:v>
                </c:pt>
                <c:pt idx="2222">
                  <c:v>1.3150000000000002</c:v>
                </c:pt>
                <c:pt idx="2223">
                  <c:v>1.645</c:v>
                </c:pt>
                <c:pt idx="2224">
                  <c:v>1.66</c:v>
                </c:pt>
                <c:pt idx="2225">
                  <c:v>1.5249999999999999</c:v>
                </c:pt>
                <c:pt idx="2226">
                  <c:v>0.56499999999999995</c:v>
                </c:pt>
                <c:pt idx="2227">
                  <c:v>0.25</c:v>
                </c:pt>
                <c:pt idx="2228">
                  <c:v>0.25</c:v>
                </c:pt>
                <c:pt idx="2229">
                  <c:v>0.53500000000000003</c:v>
                </c:pt>
                <c:pt idx="2230">
                  <c:v>1.2099999999999997</c:v>
                </c:pt>
                <c:pt idx="2231">
                  <c:v>1.1950000000000001</c:v>
                </c:pt>
                <c:pt idx="2232">
                  <c:v>1.0599999999999998</c:v>
                </c:pt>
                <c:pt idx="2233">
                  <c:v>0.94000000000000017</c:v>
                </c:pt>
                <c:pt idx="2234">
                  <c:v>1.0150000000000001</c:v>
                </c:pt>
                <c:pt idx="2235">
                  <c:v>0.94000000000000017</c:v>
                </c:pt>
                <c:pt idx="2236">
                  <c:v>1.2099999999999997</c:v>
                </c:pt>
                <c:pt idx="2237">
                  <c:v>1.27</c:v>
                </c:pt>
                <c:pt idx="2238">
                  <c:v>0.92500000000000004</c:v>
                </c:pt>
                <c:pt idx="2239">
                  <c:v>0.86500000000000021</c:v>
                </c:pt>
                <c:pt idx="2240">
                  <c:v>1.0599999999999998</c:v>
                </c:pt>
                <c:pt idx="2241">
                  <c:v>0.90999999999999981</c:v>
                </c:pt>
                <c:pt idx="2242">
                  <c:v>1.0900000000000003</c:v>
                </c:pt>
                <c:pt idx="2243">
                  <c:v>1.2400000000000002</c:v>
                </c:pt>
                <c:pt idx="2244">
                  <c:v>1.0150000000000001</c:v>
                </c:pt>
                <c:pt idx="2245">
                  <c:v>1.0150000000000001</c:v>
                </c:pt>
                <c:pt idx="2246">
                  <c:v>1.075</c:v>
                </c:pt>
                <c:pt idx="2247">
                  <c:v>1.18</c:v>
                </c:pt>
                <c:pt idx="2248">
                  <c:v>0.90999999999999981</c:v>
                </c:pt>
                <c:pt idx="2249">
                  <c:v>0.59500000000000008</c:v>
                </c:pt>
                <c:pt idx="2250">
                  <c:v>0.2950000000000001</c:v>
                </c:pt>
                <c:pt idx="2251">
                  <c:v>0.25</c:v>
                </c:pt>
                <c:pt idx="2252">
                  <c:v>0.25</c:v>
                </c:pt>
                <c:pt idx="2253">
                  <c:v>0.25</c:v>
                </c:pt>
                <c:pt idx="2254">
                  <c:v>0.25</c:v>
                </c:pt>
                <c:pt idx="2255">
                  <c:v>0.25</c:v>
                </c:pt>
                <c:pt idx="2256">
                  <c:v>0.25</c:v>
                </c:pt>
                <c:pt idx="2257">
                  <c:v>0.25</c:v>
                </c:pt>
                <c:pt idx="2258">
                  <c:v>0.25</c:v>
                </c:pt>
                <c:pt idx="2259">
                  <c:v>0.25</c:v>
                </c:pt>
                <c:pt idx="2260">
                  <c:v>0.25</c:v>
                </c:pt>
                <c:pt idx="2261">
                  <c:v>0.74500000000000011</c:v>
                </c:pt>
                <c:pt idx="2262">
                  <c:v>0.42999999999999988</c:v>
                </c:pt>
                <c:pt idx="2263">
                  <c:v>0.25</c:v>
                </c:pt>
                <c:pt idx="2264">
                  <c:v>0.25</c:v>
                </c:pt>
                <c:pt idx="2265">
                  <c:v>0.25</c:v>
                </c:pt>
                <c:pt idx="2266">
                  <c:v>0.25</c:v>
                </c:pt>
                <c:pt idx="2267">
                  <c:v>0.25</c:v>
                </c:pt>
                <c:pt idx="2268">
                  <c:v>0.25</c:v>
                </c:pt>
                <c:pt idx="2269">
                  <c:v>0.25</c:v>
                </c:pt>
                <c:pt idx="2270">
                  <c:v>0.25</c:v>
                </c:pt>
                <c:pt idx="2271">
                  <c:v>0.25</c:v>
                </c:pt>
                <c:pt idx="2272">
                  <c:v>0.25</c:v>
                </c:pt>
                <c:pt idx="2273">
                  <c:v>0.25</c:v>
                </c:pt>
                <c:pt idx="2274">
                  <c:v>0.25</c:v>
                </c:pt>
                <c:pt idx="2275">
                  <c:v>0.25</c:v>
                </c:pt>
                <c:pt idx="2276">
                  <c:v>0.25</c:v>
                </c:pt>
                <c:pt idx="2277">
                  <c:v>0.25</c:v>
                </c:pt>
                <c:pt idx="2278">
                  <c:v>0.25</c:v>
                </c:pt>
                <c:pt idx="2279">
                  <c:v>0.30999999999999978</c:v>
                </c:pt>
                <c:pt idx="2280">
                  <c:v>0.48999999999999994</c:v>
                </c:pt>
                <c:pt idx="2281">
                  <c:v>0.25</c:v>
                </c:pt>
                <c:pt idx="2282">
                  <c:v>0.25</c:v>
                </c:pt>
                <c:pt idx="2283">
                  <c:v>0.25</c:v>
                </c:pt>
                <c:pt idx="2284">
                  <c:v>0.25</c:v>
                </c:pt>
                <c:pt idx="2285">
                  <c:v>0.25</c:v>
                </c:pt>
                <c:pt idx="2286">
                  <c:v>0.25</c:v>
                </c:pt>
                <c:pt idx="2287">
                  <c:v>0.25</c:v>
                </c:pt>
                <c:pt idx="2288">
                  <c:v>0.25</c:v>
                </c:pt>
                <c:pt idx="2289">
                  <c:v>0.25</c:v>
                </c:pt>
                <c:pt idx="2290">
                  <c:v>0.25</c:v>
                </c:pt>
                <c:pt idx="2291">
                  <c:v>0.25</c:v>
                </c:pt>
                <c:pt idx="2292">
                  <c:v>0.25</c:v>
                </c:pt>
                <c:pt idx="2293">
                  <c:v>0.25</c:v>
                </c:pt>
                <c:pt idx="2294">
                  <c:v>0.25</c:v>
                </c:pt>
                <c:pt idx="2295">
                  <c:v>0.25</c:v>
                </c:pt>
                <c:pt idx="2296">
                  <c:v>0.25</c:v>
                </c:pt>
                <c:pt idx="2297">
                  <c:v>0.25</c:v>
                </c:pt>
                <c:pt idx="2298">
                  <c:v>0.35499999999999987</c:v>
                </c:pt>
                <c:pt idx="2299">
                  <c:v>0.25</c:v>
                </c:pt>
                <c:pt idx="2300">
                  <c:v>0.25</c:v>
                </c:pt>
                <c:pt idx="2301">
                  <c:v>0.25</c:v>
                </c:pt>
                <c:pt idx="2302">
                  <c:v>0.25</c:v>
                </c:pt>
                <c:pt idx="2303">
                  <c:v>0.25</c:v>
                </c:pt>
                <c:pt idx="2304">
                  <c:v>0.25</c:v>
                </c:pt>
                <c:pt idx="2305">
                  <c:v>0.25</c:v>
                </c:pt>
                <c:pt idx="2306">
                  <c:v>0.25</c:v>
                </c:pt>
                <c:pt idx="2307">
                  <c:v>0.25</c:v>
                </c:pt>
                <c:pt idx="2308">
                  <c:v>0.25</c:v>
                </c:pt>
                <c:pt idx="2309">
                  <c:v>0.25</c:v>
                </c:pt>
                <c:pt idx="2310">
                  <c:v>0.42999999999999988</c:v>
                </c:pt>
                <c:pt idx="2311">
                  <c:v>0.32500000000000001</c:v>
                </c:pt>
                <c:pt idx="2312">
                  <c:v>0.25</c:v>
                </c:pt>
                <c:pt idx="2313">
                  <c:v>0.25</c:v>
                </c:pt>
                <c:pt idx="2314">
                  <c:v>0.34000000000000019</c:v>
                </c:pt>
                <c:pt idx="2315">
                  <c:v>0.2950000000000001</c:v>
                </c:pt>
                <c:pt idx="2316">
                  <c:v>0.25</c:v>
                </c:pt>
                <c:pt idx="2317">
                  <c:v>0.25</c:v>
                </c:pt>
                <c:pt idx="2318">
                  <c:v>0.25</c:v>
                </c:pt>
                <c:pt idx="2319">
                  <c:v>0.25</c:v>
                </c:pt>
                <c:pt idx="2320">
                  <c:v>0.25</c:v>
                </c:pt>
                <c:pt idx="2321">
                  <c:v>0.25</c:v>
                </c:pt>
                <c:pt idx="2322">
                  <c:v>0.25</c:v>
                </c:pt>
                <c:pt idx="2323">
                  <c:v>0.25</c:v>
                </c:pt>
                <c:pt idx="2324">
                  <c:v>0.25</c:v>
                </c:pt>
                <c:pt idx="2325">
                  <c:v>0.25</c:v>
                </c:pt>
                <c:pt idx="2326">
                  <c:v>0.56499999999999995</c:v>
                </c:pt>
                <c:pt idx="2327">
                  <c:v>0.4</c:v>
                </c:pt>
                <c:pt idx="2328">
                  <c:v>0.25</c:v>
                </c:pt>
                <c:pt idx="2329">
                  <c:v>0.25</c:v>
                </c:pt>
                <c:pt idx="2330">
                  <c:v>0.25</c:v>
                </c:pt>
                <c:pt idx="2331">
                  <c:v>0.25</c:v>
                </c:pt>
                <c:pt idx="2332">
                  <c:v>0.32500000000000001</c:v>
                </c:pt>
                <c:pt idx="2333">
                  <c:v>0.6100000000000001</c:v>
                </c:pt>
                <c:pt idx="2334">
                  <c:v>0.50499999999999989</c:v>
                </c:pt>
                <c:pt idx="2335">
                  <c:v>0.56499999999999995</c:v>
                </c:pt>
                <c:pt idx="2336">
                  <c:v>0.86500000000000021</c:v>
                </c:pt>
                <c:pt idx="2337">
                  <c:v>0.79000000000000026</c:v>
                </c:pt>
                <c:pt idx="2338">
                  <c:v>0.6399999999999999</c:v>
                </c:pt>
                <c:pt idx="2339">
                  <c:v>0.7</c:v>
                </c:pt>
                <c:pt idx="2340">
                  <c:v>0.6399999999999999</c:v>
                </c:pt>
                <c:pt idx="2341">
                  <c:v>0.46000000000000008</c:v>
                </c:pt>
                <c:pt idx="2342">
                  <c:v>0.34000000000000019</c:v>
                </c:pt>
                <c:pt idx="2343">
                  <c:v>0.26500000000000024</c:v>
                </c:pt>
                <c:pt idx="2344">
                  <c:v>0.25</c:v>
                </c:pt>
                <c:pt idx="2345">
                  <c:v>0.25</c:v>
                </c:pt>
                <c:pt idx="2346">
                  <c:v>0.25</c:v>
                </c:pt>
                <c:pt idx="2347">
                  <c:v>0.25</c:v>
                </c:pt>
                <c:pt idx="2348">
                  <c:v>0.25</c:v>
                </c:pt>
                <c:pt idx="2349">
                  <c:v>0.25</c:v>
                </c:pt>
                <c:pt idx="2350">
                  <c:v>0.25</c:v>
                </c:pt>
                <c:pt idx="2351">
                  <c:v>0.25</c:v>
                </c:pt>
                <c:pt idx="2352">
                  <c:v>0.25</c:v>
                </c:pt>
                <c:pt idx="2353">
                  <c:v>0.25</c:v>
                </c:pt>
                <c:pt idx="2354">
                  <c:v>0.25</c:v>
                </c:pt>
                <c:pt idx="2355">
                  <c:v>0.25</c:v>
                </c:pt>
                <c:pt idx="2356">
                  <c:v>0.25</c:v>
                </c:pt>
                <c:pt idx="2357">
                  <c:v>0.625</c:v>
                </c:pt>
                <c:pt idx="2358">
                  <c:v>0.67000000000000015</c:v>
                </c:pt>
                <c:pt idx="2359">
                  <c:v>1.0449999999999999</c:v>
                </c:pt>
                <c:pt idx="2360">
                  <c:v>1.105</c:v>
                </c:pt>
                <c:pt idx="2361">
                  <c:v>1.0299999999999998</c:v>
                </c:pt>
                <c:pt idx="2362">
                  <c:v>0.83499999999999974</c:v>
                </c:pt>
                <c:pt idx="2363">
                  <c:v>0.50499999999999989</c:v>
                </c:pt>
                <c:pt idx="2364">
                  <c:v>0.41499999999999992</c:v>
                </c:pt>
                <c:pt idx="2365">
                  <c:v>0.2950000000000001</c:v>
                </c:pt>
                <c:pt idx="2366">
                  <c:v>0.34000000000000019</c:v>
                </c:pt>
                <c:pt idx="2367">
                  <c:v>0.2950000000000001</c:v>
                </c:pt>
                <c:pt idx="2368">
                  <c:v>0.4</c:v>
                </c:pt>
                <c:pt idx="2369">
                  <c:v>0.59500000000000008</c:v>
                </c:pt>
                <c:pt idx="2370">
                  <c:v>1.0449999999999999</c:v>
                </c:pt>
                <c:pt idx="2371">
                  <c:v>1.2250000000000001</c:v>
                </c:pt>
                <c:pt idx="2372">
                  <c:v>0.85</c:v>
                </c:pt>
                <c:pt idx="2373">
                  <c:v>0.88</c:v>
                </c:pt>
                <c:pt idx="2374">
                  <c:v>0.82000000000000006</c:v>
                </c:pt>
                <c:pt idx="2375">
                  <c:v>0.55000000000000004</c:v>
                </c:pt>
                <c:pt idx="2376">
                  <c:v>0.89500000000000002</c:v>
                </c:pt>
                <c:pt idx="2377">
                  <c:v>1</c:v>
                </c:pt>
                <c:pt idx="2378">
                  <c:v>1.0150000000000001</c:v>
                </c:pt>
                <c:pt idx="2379">
                  <c:v>1.6900000000000002</c:v>
                </c:pt>
                <c:pt idx="2380">
                  <c:v>1.99</c:v>
                </c:pt>
                <c:pt idx="2381">
                  <c:v>1.825</c:v>
                </c:pt>
                <c:pt idx="2382">
                  <c:v>1.5249999999999999</c:v>
                </c:pt>
                <c:pt idx="2383">
                  <c:v>1.825</c:v>
                </c:pt>
                <c:pt idx="2384">
                  <c:v>1.78</c:v>
                </c:pt>
                <c:pt idx="2385">
                  <c:v>1.1349999999999998</c:v>
                </c:pt>
                <c:pt idx="2386">
                  <c:v>1.7049999999999998</c:v>
                </c:pt>
                <c:pt idx="2387">
                  <c:v>1.99</c:v>
                </c:pt>
                <c:pt idx="2388">
                  <c:v>1.3150000000000002</c:v>
                </c:pt>
                <c:pt idx="2389">
                  <c:v>1.1499999999999999</c:v>
                </c:pt>
                <c:pt idx="2390">
                  <c:v>0.34000000000000019</c:v>
                </c:pt>
                <c:pt idx="2391">
                  <c:v>0.74500000000000011</c:v>
                </c:pt>
                <c:pt idx="2392">
                  <c:v>1.54</c:v>
                </c:pt>
                <c:pt idx="2393">
                  <c:v>1.6900000000000002</c:v>
                </c:pt>
                <c:pt idx="2394">
                  <c:v>2.11</c:v>
                </c:pt>
                <c:pt idx="2395">
                  <c:v>2.125</c:v>
                </c:pt>
                <c:pt idx="2396">
                  <c:v>1.84</c:v>
                </c:pt>
                <c:pt idx="2397">
                  <c:v>1.615</c:v>
                </c:pt>
                <c:pt idx="2398">
                  <c:v>1.855</c:v>
                </c:pt>
                <c:pt idx="2399">
                  <c:v>1.78</c:v>
                </c:pt>
                <c:pt idx="2400">
                  <c:v>1.72</c:v>
                </c:pt>
                <c:pt idx="2401">
                  <c:v>1.675</c:v>
                </c:pt>
                <c:pt idx="2402">
                  <c:v>1.7650000000000001</c:v>
                </c:pt>
                <c:pt idx="2403">
                  <c:v>1.615</c:v>
                </c:pt>
                <c:pt idx="2404">
                  <c:v>1.855</c:v>
                </c:pt>
                <c:pt idx="2405">
                  <c:v>1.6</c:v>
                </c:pt>
                <c:pt idx="2406">
                  <c:v>1.8099999999999998</c:v>
                </c:pt>
                <c:pt idx="2407">
                  <c:v>1.87</c:v>
                </c:pt>
                <c:pt idx="2408">
                  <c:v>2.125</c:v>
                </c:pt>
                <c:pt idx="2409">
                  <c:v>1.78</c:v>
                </c:pt>
                <c:pt idx="2410">
                  <c:v>1.93</c:v>
                </c:pt>
                <c:pt idx="2411">
                  <c:v>2.2599999999999998</c:v>
                </c:pt>
                <c:pt idx="2412">
                  <c:v>2.3199999999999998</c:v>
                </c:pt>
                <c:pt idx="2413">
                  <c:v>2.2000000000000002</c:v>
                </c:pt>
                <c:pt idx="2414">
                  <c:v>2.11</c:v>
                </c:pt>
                <c:pt idx="2415">
                  <c:v>2.0499999999999998</c:v>
                </c:pt>
                <c:pt idx="2416">
                  <c:v>2.1550000000000002</c:v>
                </c:pt>
                <c:pt idx="2417">
                  <c:v>2.0049999999999999</c:v>
                </c:pt>
                <c:pt idx="2418">
                  <c:v>2.1550000000000002</c:v>
                </c:pt>
                <c:pt idx="2419">
                  <c:v>1.8099999999999998</c:v>
                </c:pt>
                <c:pt idx="2420">
                  <c:v>1.54</c:v>
                </c:pt>
                <c:pt idx="2421">
                  <c:v>1.45</c:v>
                </c:pt>
                <c:pt idx="2422">
                  <c:v>2.08</c:v>
                </c:pt>
                <c:pt idx="2423">
                  <c:v>2.125</c:v>
                </c:pt>
                <c:pt idx="2424">
                  <c:v>2.4249999999999998</c:v>
                </c:pt>
                <c:pt idx="2425">
                  <c:v>2.14</c:v>
                </c:pt>
                <c:pt idx="2426">
                  <c:v>2.5750000000000002</c:v>
                </c:pt>
                <c:pt idx="2427">
                  <c:v>2.6349999999999998</c:v>
                </c:pt>
                <c:pt idx="2428">
                  <c:v>2.6349999999999998</c:v>
                </c:pt>
                <c:pt idx="2429">
                  <c:v>2.7700000000000005</c:v>
                </c:pt>
                <c:pt idx="2430">
                  <c:v>2.7549999999999999</c:v>
                </c:pt>
                <c:pt idx="2431">
                  <c:v>2.4849999999999999</c:v>
                </c:pt>
                <c:pt idx="2432">
                  <c:v>1.9</c:v>
                </c:pt>
                <c:pt idx="2433">
                  <c:v>2.17</c:v>
                </c:pt>
                <c:pt idx="2434">
                  <c:v>2.9350000000000001</c:v>
                </c:pt>
                <c:pt idx="2435">
                  <c:v>2.9049999999999998</c:v>
                </c:pt>
                <c:pt idx="2436">
                  <c:v>2.5</c:v>
                </c:pt>
                <c:pt idx="2437">
                  <c:v>2.7849999999999997</c:v>
                </c:pt>
                <c:pt idx="2438">
                  <c:v>2.8149999999999999</c:v>
                </c:pt>
                <c:pt idx="2439">
                  <c:v>2.95</c:v>
                </c:pt>
                <c:pt idx="2440">
                  <c:v>2.8</c:v>
                </c:pt>
                <c:pt idx="2441">
                  <c:v>2.8149999999999999</c:v>
                </c:pt>
                <c:pt idx="2442">
                  <c:v>2.8149999999999999</c:v>
                </c:pt>
                <c:pt idx="2443">
                  <c:v>2.7700000000000005</c:v>
                </c:pt>
                <c:pt idx="2444">
                  <c:v>2.2749999999999999</c:v>
                </c:pt>
                <c:pt idx="2445">
                  <c:v>2.02</c:v>
                </c:pt>
                <c:pt idx="2446">
                  <c:v>1.9</c:v>
                </c:pt>
                <c:pt idx="2447">
                  <c:v>1.885</c:v>
                </c:pt>
                <c:pt idx="2448">
                  <c:v>2.2599999999999998</c:v>
                </c:pt>
                <c:pt idx="2449">
                  <c:v>2.3950000000000005</c:v>
                </c:pt>
                <c:pt idx="2450">
                  <c:v>2.0650000000000004</c:v>
                </c:pt>
                <c:pt idx="2451">
                  <c:v>2.62</c:v>
                </c:pt>
                <c:pt idx="2452">
                  <c:v>2.875</c:v>
                </c:pt>
                <c:pt idx="2453">
                  <c:v>3.2199999999999998</c:v>
                </c:pt>
                <c:pt idx="2454">
                  <c:v>3.2199999999999998</c:v>
                </c:pt>
                <c:pt idx="2455">
                  <c:v>1.84</c:v>
                </c:pt>
                <c:pt idx="2456">
                  <c:v>3.0549999999999997</c:v>
                </c:pt>
                <c:pt idx="2457">
                  <c:v>3.82</c:v>
                </c:pt>
                <c:pt idx="2458">
                  <c:v>3.145</c:v>
                </c:pt>
                <c:pt idx="2459">
                  <c:v>2.8149999999999999</c:v>
                </c:pt>
                <c:pt idx="2460">
                  <c:v>2.3650000000000002</c:v>
                </c:pt>
                <c:pt idx="2461">
                  <c:v>1.4200000000000002</c:v>
                </c:pt>
                <c:pt idx="2462">
                  <c:v>1.0299999999999998</c:v>
                </c:pt>
                <c:pt idx="2463">
                  <c:v>1.2250000000000001</c:v>
                </c:pt>
                <c:pt idx="2464">
                  <c:v>1.7349999999999999</c:v>
                </c:pt>
                <c:pt idx="2465">
                  <c:v>1.4650000000000001</c:v>
                </c:pt>
                <c:pt idx="2466">
                  <c:v>1.63</c:v>
                </c:pt>
                <c:pt idx="2467">
                  <c:v>2.2749999999999999</c:v>
                </c:pt>
                <c:pt idx="2468">
                  <c:v>2.74</c:v>
                </c:pt>
                <c:pt idx="2469">
                  <c:v>3.0249999999999999</c:v>
                </c:pt>
                <c:pt idx="2470">
                  <c:v>2.71</c:v>
                </c:pt>
                <c:pt idx="2471">
                  <c:v>2.7250000000000001</c:v>
                </c:pt>
                <c:pt idx="2472">
                  <c:v>2.5</c:v>
                </c:pt>
                <c:pt idx="2473">
                  <c:v>3.1599999999999997</c:v>
                </c:pt>
                <c:pt idx="2474">
                  <c:v>3.0549999999999997</c:v>
                </c:pt>
                <c:pt idx="2475">
                  <c:v>2.6799999999999997</c:v>
                </c:pt>
                <c:pt idx="2476">
                  <c:v>2.3950000000000005</c:v>
                </c:pt>
                <c:pt idx="2477">
                  <c:v>2.4849999999999999</c:v>
                </c:pt>
                <c:pt idx="2478">
                  <c:v>2.9950000000000001</c:v>
                </c:pt>
                <c:pt idx="2479">
                  <c:v>2.335</c:v>
                </c:pt>
                <c:pt idx="2480">
                  <c:v>2.6950000000000003</c:v>
                </c:pt>
                <c:pt idx="2481">
                  <c:v>2.5900000000000003</c:v>
                </c:pt>
                <c:pt idx="2482">
                  <c:v>2.62</c:v>
                </c:pt>
                <c:pt idx="2483">
                  <c:v>3.0249999999999999</c:v>
                </c:pt>
                <c:pt idx="2484">
                  <c:v>2.56</c:v>
                </c:pt>
                <c:pt idx="2485">
                  <c:v>2.29</c:v>
                </c:pt>
                <c:pt idx="2486">
                  <c:v>2.35</c:v>
                </c:pt>
                <c:pt idx="2487">
                  <c:v>2.4249999999999998</c:v>
                </c:pt>
                <c:pt idx="2488">
                  <c:v>2.62</c:v>
                </c:pt>
                <c:pt idx="2489">
                  <c:v>2.6049999999999995</c:v>
                </c:pt>
                <c:pt idx="2490">
                  <c:v>2.29</c:v>
                </c:pt>
                <c:pt idx="2491">
                  <c:v>2.2749999999999999</c:v>
                </c:pt>
                <c:pt idx="2492">
                  <c:v>2.0499999999999998</c:v>
                </c:pt>
                <c:pt idx="2493">
                  <c:v>2.4849999999999999</c:v>
                </c:pt>
                <c:pt idx="2494">
                  <c:v>2.5750000000000002</c:v>
                </c:pt>
                <c:pt idx="2495">
                  <c:v>2.1849999999999996</c:v>
                </c:pt>
                <c:pt idx="2496">
                  <c:v>2.2599999999999998</c:v>
                </c:pt>
                <c:pt idx="2497">
                  <c:v>1.915</c:v>
                </c:pt>
                <c:pt idx="2498">
                  <c:v>2.2599999999999998</c:v>
                </c:pt>
                <c:pt idx="2499">
                  <c:v>2.0350000000000001</c:v>
                </c:pt>
                <c:pt idx="2500">
                  <c:v>2.2749999999999999</c:v>
                </c:pt>
                <c:pt idx="2501">
                  <c:v>2.08</c:v>
                </c:pt>
                <c:pt idx="2502">
                  <c:v>1.7349999999999999</c:v>
                </c:pt>
                <c:pt idx="2503">
                  <c:v>1.6900000000000002</c:v>
                </c:pt>
                <c:pt idx="2504">
                  <c:v>2.0949999999999998</c:v>
                </c:pt>
                <c:pt idx="2505">
                  <c:v>2.5900000000000003</c:v>
                </c:pt>
                <c:pt idx="2506">
                  <c:v>2.5150000000000001</c:v>
                </c:pt>
                <c:pt idx="2507">
                  <c:v>2.4700000000000002</c:v>
                </c:pt>
                <c:pt idx="2508">
                  <c:v>2.08</c:v>
                </c:pt>
                <c:pt idx="2509">
                  <c:v>1.87</c:v>
                </c:pt>
                <c:pt idx="2510">
                  <c:v>1.4950000000000001</c:v>
                </c:pt>
                <c:pt idx="2511">
                  <c:v>1.7349999999999999</c:v>
                </c:pt>
                <c:pt idx="2512">
                  <c:v>1.855</c:v>
                </c:pt>
                <c:pt idx="2513">
                  <c:v>1.825</c:v>
                </c:pt>
                <c:pt idx="2514">
                  <c:v>1.7049999999999998</c:v>
                </c:pt>
                <c:pt idx="2515">
                  <c:v>2.0499999999999998</c:v>
                </c:pt>
                <c:pt idx="2516">
                  <c:v>1.87</c:v>
                </c:pt>
                <c:pt idx="2517">
                  <c:v>2.0499999999999998</c:v>
                </c:pt>
                <c:pt idx="2518">
                  <c:v>2.23</c:v>
                </c:pt>
                <c:pt idx="2519">
                  <c:v>2.35</c:v>
                </c:pt>
                <c:pt idx="2520">
                  <c:v>2.4849999999999999</c:v>
                </c:pt>
                <c:pt idx="2521">
                  <c:v>2.9350000000000001</c:v>
                </c:pt>
                <c:pt idx="2522">
                  <c:v>2.9350000000000001</c:v>
                </c:pt>
                <c:pt idx="2523">
                  <c:v>2.9200000000000004</c:v>
                </c:pt>
                <c:pt idx="2524">
                  <c:v>2.8149999999999999</c:v>
                </c:pt>
                <c:pt idx="2525">
                  <c:v>2.8299999999999996</c:v>
                </c:pt>
                <c:pt idx="2526">
                  <c:v>2.665</c:v>
                </c:pt>
                <c:pt idx="2527">
                  <c:v>2.9650000000000003</c:v>
                </c:pt>
                <c:pt idx="2528">
                  <c:v>2.74</c:v>
                </c:pt>
                <c:pt idx="2529">
                  <c:v>2.62</c:v>
                </c:pt>
                <c:pt idx="2530">
                  <c:v>2.35</c:v>
                </c:pt>
                <c:pt idx="2531">
                  <c:v>2.5750000000000002</c:v>
                </c:pt>
                <c:pt idx="2532">
                  <c:v>2.7700000000000005</c:v>
                </c:pt>
                <c:pt idx="2533">
                  <c:v>2.5150000000000001</c:v>
                </c:pt>
                <c:pt idx="2534">
                  <c:v>2.2450000000000001</c:v>
                </c:pt>
                <c:pt idx="2535">
                  <c:v>1.99</c:v>
                </c:pt>
                <c:pt idx="2536">
                  <c:v>1.855</c:v>
                </c:pt>
                <c:pt idx="2537">
                  <c:v>1.645</c:v>
                </c:pt>
                <c:pt idx="2538">
                  <c:v>1.7049999999999998</c:v>
                </c:pt>
                <c:pt idx="2539">
                  <c:v>1.7349999999999999</c:v>
                </c:pt>
                <c:pt idx="2540">
                  <c:v>2.08</c:v>
                </c:pt>
                <c:pt idx="2541">
                  <c:v>2.0650000000000004</c:v>
                </c:pt>
                <c:pt idx="2542">
                  <c:v>2.02</c:v>
                </c:pt>
                <c:pt idx="2543">
                  <c:v>1.6</c:v>
                </c:pt>
                <c:pt idx="2544">
                  <c:v>1.51</c:v>
                </c:pt>
                <c:pt idx="2545">
                  <c:v>1.405</c:v>
                </c:pt>
                <c:pt idx="2546">
                  <c:v>1.645</c:v>
                </c:pt>
                <c:pt idx="2547">
                  <c:v>1.3</c:v>
                </c:pt>
                <c:pt idx="2548">
                  <c:v>1.105</c:v>
                </c:pt>
                <c:pt idx="2549">
                  <c:v>1.105</c:v>
                </c:pt>
                <c:pt idx="2550">
                  <c:v>1.405</c:v>
                </c:pt>
                <c:pt idx="2551">
                  <c:v>1.855</c:v>
                </c:pt>
                <c:pt idx="2552">
                  <c:v>2.2450000000000001</c:v>
                </c:pt>
                <c:pt idx="2553">
                  <c:v>2.5450000000000004</c:v>
                </c:pt>
                <c:pt idx="2554">
                  <c:v>2.56</c:v>
                </c:pt>
                <c:pt idx="2555">
                  <c:v>2.7250000000000001</c:v>
                </c:pt>
                <c:pt idx="2556">
                  <c:v>2.3199999999999998</c:v>
                </c:pt>
                <c:pt idx="2557">
                  <c:v>1.825</c:v>
                </c:pt>
                <c:pt idx="2558">
                  <c:v>1.1499999999999999</c:v>
                </c:pt>
                <c:pt idx="2559">
                  <c:v>1.0599999999999998</c:v>
                </c:pt>
                <c:pt idx="2560">
                  <c:v>1.7349999999999999</c:v>
                </c:pt>
                <c:pt idx="2561">
                  <c:v>2.1550000000000002</c:v>
                </c:pt>
                <c:pt idx="2562">
                  <c:v>2.2599999999999998</c:v>
                </c:pt>
                <c:pt idx="2563">
                  <c:v>1.9</c:v>
                </c:pt>
                <c:pt idx="2564">
                  <c:v>1.54</c:v>
                </c:pt>
                <c:pt idx="2565">
                  <c:v>0.95499999999999996</c:v>
                </c:pt>
                <c:pt idx="2566">
                  <c:v>0.72999999999999987</c:v>
                </c:pt>
                <c:pt idx="2567">
                  <c:v>1.1650000000000003</c:v>
                </c:pt>
                <c:pt idx="2568">
                  <c:v>1.855</c:v>
                </c:pt>
                <c:pt idx="2569">
                  <c:v>1.855</c:v>
                </c:pt>
                <c:pt idx="2570">
                  <c:v>1.5549999999999999</c:v>
                </c:pt>
                <c:pt idx="2571">
                  <c:v>1.855</c:v>
                </c:pt>
                <c:pt idx="2572">
                  <c:v>2.2149999999999999</c:v>
                </c:pt>
                <c:pt idx="2573">
                  <c:v>1.6900000000000002</c:v>
                </c:pt>
                <c:pt idx="2574">
                  <c:v>1.54</c:v>
                </c:pt>
                <c:pt idx="2575">
                  <c:v>1.2400000000000002</c:v>
                </c:pt>
                <c:pt idx="2576">
                  <c:v>1.5249999999999999</c:v>
                </c:pt>
                <c:pt idx="2577">
                  <c:v>1.66</c:v>
                </c:pt>
                <c:pt idx="2578">
                  <c:v>1.5249999999999999</c:v>
                </c:pt>
                <c:pt idx="2579">
                  <c:v>1.1499999999999999</c:v>
                </c:pt>
                <c:pt idx="2580">
                  <c:v>1</c:v>
                </c:pt>
                <c:pt idx="2581">
                  <c:v>1.1200000000000001</c:v>
                </c:pt>
                <c:pt idx="2582">
                  <c:v>1.0599999999999998</c:v>
                </c:pt>
                <c:pt idx="2583">
                  <c:v>0.90999999999999981</c:v>
                </c:pt>
                <c:pt idx="2584">
                  <c:v>0.65499999999999992</c:v>
                </c:pt>
                <c:pt idx="2585">
                  <c:v>0.57999999999999985</c:v>
                </c:pt>
                <c:pt idx="2586">
                  <c:v>0.59500000000000008</c:v>
                </c:pt>
                <c:pt idx="2587">
                  <c:v>0.68500000000000005</c:v>
                </c:pt>
                <c:pt idx="2588">
                  <c:v>0.65499999999999992</c:v>
                </c:pt>
                <c:pt idx="2589">
                  <c:v>0.6100000000000001</c:v>
                </c:pt>
                <c:pt idx="2590">
                  <c:v>0.59500000000000008</c:v>
                </c:pt>
                <c:pt idx="2591">
                  <c:v>0.35499999999999987</c:v>
                </c:pt>
                <c:pt idx="2592">
                  <c:v>0.25</c:v>
                </c:pt>
                <c:pt idx="2593">
                  <c:v>0.25</c:v>
                </c:pt>
                <c:pt idx="2594">
                  <c:v>0.25</c:v>
                </c:pt>
                <c:pt idx="2595">
                  <c:v>0.25</c:v>
                </c:pt>
                <c:pt idx="2596">
                  <c:v>0.46000000000000008</c:v>
                </c:pt>
                <c:pt idx="2597">
                  <c:v>0.35499999999999987</c:v>
                </c:pt>
                <c:pt idx="2598">
                  <c:v>0.25</c:v>
                </c:pt>
                <c:pt idx="2599">
                  <c:v>0.37000000000000011</c:v>
                </c:pt>
                <c:pt idx="2600">
                  <c:v>0.37000000000000011</c:v>
                </c:pt>
                <c:pt idx="2601">
                  <c:v>0.25</c:v>
                </c:pt>
                <c:pt idx="2602">
                  <c:v>0.25</c:v>
                </c:pt>
                <c:pt idx="2603">
                  <c:v>0.25</c:v>
                </c:pt>
                <c:pt idx="2604">
                  <c:v>0.41499999999999992</c:v>
                </c:pt>
                <c:pt idx="2605">
                  <c:v>0.32500000000000001</c:v>
                </c:pt>
                <c:pt idx="2606">
                  <c:v>0.25</c:v>
                </c:pt>
                <c:pt idx="2607">
                  <c:v>0.50499999999999989</c:v>
                </c:pt>
                <c:pt idx="2608">
                  <c:v>0.2950000000000001</c:v>
                </c:pt>
                <c:pt idx="2609">
                  <c:v>0.57999999999999985</c:v>
                </c:pt>
                <c:pt idx="2610">
                  <c:v>0.97000000000000008</c:v>
                </c:pt>
                <c:pt idx="2611">
                  <c:v>1.27</c:v>
                </c:pt>
                <c:pt idx="2612">
                  <c:v>1.105</c:v>
                </c:pt>
                <c:pt idx="2613">
                  <c:v>0.6399999999999999</c:v>
                </c:pt>
                <c:pt idx="2614">
                  <c:v>0.25</c:v>
                </c:pt>
                <c:pt idx="2615">
                  <c:v>0.34000000000000019</c:v>
                </c:pt>
                <c:pt idx="2616">
                  <c:v>0.25</c:v>
                </c:pt>
                <c:pt idx="2617">
                  <c:v>0.25</c:v>
                </c:pt>
                <c:pt idx="2618">
                  <c:v>0.25</c:v>
                </c:pt>
                <c:pt idx="2619">
                  <c:v>0.25</c:v>
                </c:pt>
                <c:pt idx="2620">
                  <c:v>0.25</c:v>
                </c:pt>
                <c:pt idx="2621">
                  <c:v>0.25</c:v>
                </c:pt>
                <c:pt idx="2622">
                  <c:v>0.25</c:v>
                </c:pt>
                <c:pt idx="2623">
                  <c:v>0.25</c:v>
                </c:pt>
                <c:pt idx="2624">
                  <c:v>0.25</c:v>
                </c:pt>
                <c:pt idx="2625">
                  <c:v>0.25</c:v>
                </c:pt>
                <c:pt idx="2626">
                  <c:v>0.25</c:v>
                </c:pt>
                <c:pt idx="2627">
                  <c:v>0.38499999999999979</c:v>
                </c:pt>
                <c:pt idx="2628">
                  <c:v>0.25</c:v>
                </c:pt>
                <c:pt idx="2629">
                  <c:v>0.25</c:v>
                </c:pt>
                <c:pt idx="2630">
                  <c:v>0.25</c:v>
                </c:pt>
                <c:pt idx="2631">
                  <c:v>0.25</c:v>
                </c:pt>
                <c:pt idx="2632">
                  <c:v>0.25</c:v>
                </c:pt>
                <c:pt idx="2633">
                  <c:v>0.25</c:v>
                </c:pt>
                <c:pt idx="2634">
                  <c:v>0.25</c:v>
                </c:pt>
                <c:pt idx="2635">
                  <c:v>0.25</c:v>
                </c:pt>
                <c:pt idx="2636">
                  <c:v>0.25</c:v>
                </c:pt>
                <c:pt idx="2637">
                  <c:v>0.25</c:v>
                </c:pt>
                <c:pt idx="2638">
                  <c:v>0.25</c:v>
                </c:pt>
                <c:pt idx="2639">
                  <c:v>0.25</c:v>
                </c:pt>
                <c:pt idx="2640">
                  <c:v>0.25</c:v>
                </c:pt>
                <c:pt idx="2641">
                  <c:v>0.25</c:v>
                </c:pt>
                <c:pt idx="2642">
                  <c:v>0.25</c:v>
                </c:pt>
                <c:pt idx="2643">
                  <c:v>0.25</c:v>
                </c:pt>
                <c:pt idx="2644">
                  <c:v>0.25</c:v>
                </c:pt>
                <c:pt idx="2645">
                  <c:v>0.25</c:v>
                </c:pt>
                <c:pt idx="2646">
                  <c:v>0.25</c:v>
                </c:pt>
                <c:pt idx="2647">
                  <c:v>0.25</c:v>
                </c:pt>
                <c:pt idx="2648">
                  <c:v>0.25</c:v>
                </c:pt>
                <c:pt idx="2649">
                  <c:v>0.25</c:v>
                </c:pt>
                <c:pt idx="2650">
                  <c:v>0.25</c:v>
                </c:pt>
                <c:pt idx="2651">
                  <c:v>0.25</c:v>
                </c:pt>
                <c:pt idx="2652">
                  <c:v>0.25</c:v>
                </c:pt>
                <c:pt idx="2653">
                  <c:v>0.25</c:v>
                </c:pt>
                <c:pt idx="2654">
                  <c:v>0.25</c:v>
                </c:pt>
                <c:pt idx="2655">
                  <c:v>0.25</c:v>
                </c:pt>
                <c:pt idx="2656">
                  <c:v>0.25</c:v>
                </c:pt>
                <c:pt idx="2657">
                  <c:v>0.25</c:v>
                </c:pt>
                <c:pt idx="2658">
                  <c:v>0.25</c:v>
                </c:pt>
                <c:pt idx="2659">
                  <c:v>0.25</c:v>
                </c:pt>
                <c:pt idx="2660">
                  <c:v>0.25</c:v>
                </c:pt>
                <c:pt idx="2661">
                  <c:v>0.25</c:v>
                </c:pt>
                <c:pt idx="2662">
                  <c:v>0.25</c:v>
                </c:pt>
                <c:pt idx="2663">
                  <c:v>0.25</c:v>
                </c:pt>
                <c:pt idx="2664">
                  <c:v>0.25</c:v>
                </c:pt>
                <c:pt idx="2665">
                  <c:v>0.25</c:v>
                </c:pt>
                <c:pt idx="2666">
                  <c:v>0.25</c:v>
                </c:pt>
                <c:pt idx="2667">
                  <c:v>0.25</c:v>
                </c:pt>
                <c:pt idx="2668">
                  <c:v>0.25</c:v>
                </c:pt>
                <c:pt idx="2669">
                  <c:v>0.25</c:v>
                </c:pt>
                <c:pt idx="2670">
                  <c:v>0.25</c:v>
                </c:pt>
                <c:pt idx="2671">
                  <c:v>0.25</c:v>
                </c:pt>
                <c:pt idx="2672">
                  <c:v>0.25</c:v>
                </c:pt>
              </c:numCache>
            </c:numRef>
          </c:yVal>
        </c:ser>
        <c:ser>
          <c:idx val="1"/>
          <c:order val="1"/>
          <c:tx>
            <c:strRef>
              <c:f>'ds vypočet'!$K$1</c:f>
              <c:strCache>
                <c:ptCount val="1"/>
                <c:pt idx="0">
                  <c:v>kW voda</c:v>
                </c:pt>
              </c:strCache>
            </c:strRef>
          </c:tx>
          <c:marker>
            <c:symbol val="none"/>
          </c:marker>
          <c:xVal>
            <c:numRef>
              <c:f>'ds vypočet'!$B$6:$B$2678</c:f>
              <c:numCache>
                <c:formatCode>dd/mm/yyyy</c:formatCode>
                <c:ptCount val="2673"/>
                <c:pt idx="0">
                  <c:v>42099</c:v>
                </c:pt>
                <c:pt idx="1">
                  <c:v>42100</c:v>
                </c:pt>
                <c:pt idx="2">
                  <c:v>42101</c:v>
                </c:pt>
                <c:pt idx="3">
                  <c:v>42102</c:v>
                </c:pt>
                <c:pt idx="4">
                  <c:v>42103</c:v>
                </c:pt>
                <c:pt idx="5">
                  <c:v>42104</c:v>
                </c:pt>
                <c:pt idx="6">
                  <c:v>42105</c:v>
                </c:pt>
                <c:pt idx="7">
                  <c:v>42106</c:v>
                </c:pt>
                <c:pt idx="8">
                  <c:v>42107</c:v>
                </c:pt>
                <c:pt idx="9">
                  <c:v>42108</c:v>
                </c:pt>
                <c:pt idx="10">
                  <c:v>42109</c:v>
                </c:pt>
                <c:pt idx="11">
                  <c:v>42110</c:v>
                </c:pt>
                <c:pt idx="12">
                  <c:v>42111</c:v>
                </c:pt>
                <c:pt idx="13">
                  <c:v>42112</c:v>
                </c:pt>
                <c:pt idx="14">
                  <c:v>42113</c:v>
                </c:pt>
                <c:pt idx="15">
                  <c:v>42114</c:v>
                </c:pt>
                <c:pt idx="16">
                  <c:v>42115</c:v>
                </c:pt>
                <c:pt idx="17">
                  <c:v>42116</c:v>
                </c:pt>
                <c:pt idx="18">
                  <c:v>42117</c:v>
                </c:pt>
                <c:pt idx="19">
                  <c:v>42118</c:v>
                </c:pt>
                <c:pt idx="20">
                  <c:v>42119</c:v>
                </c:pt>
                <c:pt idx="21">
                  <c:v>42120</c:v>
                </c:pt>
                <c:pt idx="22">
                  <c:v>42121</c:v>
                </c:pt>
                <c:pt idx="23">
                  <c:v>42122</c:v>
                </c:pt>
                <c:pt idx="24">
                  <c:v>42123</c:v>
                </c:pt>
                <c:pt idx="25">
                  <c:v>42124</c:v>
                </c:pt>
                <c:pt idx="26">
                  <c:v>42125</c:v>
                </c:pt>
                <c:pt idx="27">
                  <c:v>42126</c:v>
                </c:pt>
                <c:pt idx="28">
                  <c:v>42127</c:v>
                </c:pt>
                <c:pt idx="29">
                  <c:v>42128</c:v>
                </c:pt>
                <c:pt idx="30">
                  <c:v>42129</c:v>
                </c:pt>
                <c:pt idx="31">
                  <c:v>42130</c:v>
                </c:pt>
                <c:pt idx="32">
                  <c:v>42131</c:v>
                </c:pt>
                <c:pt idx="33">
                  <c:v>42132</c:v>
                </c:pt>
                <c:pt idx="34">
                  <c:v>42133</c:v>
                </c:pt>
                <c:pt idx="35">
                  <c:v>42134</c:v>
                </c:pt>
                <c:pt idx="36">
                  <c:v>42135</c:v>
                </c:pt>
                <c:pt idx="37">
                  <c:v>42136</c:v>
                </c:pt>
                <c:pt idx="38">
                  <c:v>42137</c:v>
                </c:pt>
                <c:pt idx="39">
                  <c:v>42138</c:v>
                </c:pt>
                <c:pt idx="40">
                  <c:v>42139</c:v>
                </c:pt>
                <c:pt idx="41">
                  <c:v>42140</c:v>
                </c:pt>
                <c:pt idx="42">
                  <c:v>42141</c:v>
                </c:pt>
                <c:pt idx="43">
                  <c:v>42142</c:v>
                </c:pt>
                <c:pt idx="44">
                  <c:v>42143</c:v>
                </c:pt>
                <c:pt idx="45">
                  <c:v>42144</c:v>
                </c:pt>
                <c:pt idx="46">
                  <c:v>42145</c:v>
                </c:pt>
                <c:pt idx="47">
                  <c:v>42146</c:v>
                </c:pt>
                <c:pt idx="48">
                  <c:v>42147</c:v>
                </c:pt>
                <c:pt idx="49">
                  <c:v>42148</c:v>
                </c:pt>
                <c:pt idx="50">
                  <c:v>42149</c:v>
                </c:pt>
                <c:pt idx="51">
                  <c:v>42150</c:v>
                </c:pt>
                <c:pt idx="52">
                  <c:v>42151</c:v>
                </c:pt>
                <c:pt idx="53">
                  <c:v>42152</c:v>
                </c:pt>
                <c:pt idx="54">
                  <c:v>42153</c:v>
                </c:pt>
                <c:pt idx="55">
                  <c:v>42154</c:v>
                </c:pt>
                <c:pt idx="56">
                  <c:v>42155</c:v>
                </c:pt>
                <c:pt idx="57">
                  <c:v>42156</c:v>
                </c:pt>
                <c:pt idx="58">
                  <c:v>42157</c:v>
                </c:pt>
                <c:pt idx="59">
                  <c:v>42158</c:v>
                </c:pt>
                <c:pt idx="60">
                  <c:v>42159</c:v>
                </c:pt>
                <c:pt idx="61">
                  <c:v>42160</c:v>
                </c:pt>
                <c:pt idx="62">
                  <c:v>42161</c:v>
                </c:pt>
                <c:pt idx="63">
                  <c:v>42162</c:v>
                </c:pt>
                <c:pt idx="64">
                  <c:v>42163</c:v>
                </c:pt>
                <c:pt idx="65">
                  <c:v>42164</c:v>
                </c:pt>
                <c:pt idx="66">
                  <c:v>42165</c:v>
                </c:pt>
                <c:pt idx="67">
                  <c:v>42166</c:v>
                </c:pt>
                <c:pt idx="68">
                  <c:v>42167</c:v>
                </c:pt>
                <c:pt idx="69">
                  <c:v>42168</c:v>
                </c:pt>
                <c:pt idx="70">
                  <c:v>42169</c:v>
                </c:pt>
                <c:pt idx="71">
                  <c:v>42170</c:v>
                </c:pt>
                <c:pt idx="72">
                  <c:v>42171</c:v>
                </c:pt>
                <c:pt idx="73">
                  <c:v>42172</c:v>
                </c:pt>
                <c:pt idx="74">
                  <c:v>42173</c:v>
                </c:pt>
                <c:pt idx="75">
                  <c:v>42174</c:v>
                </c:pt>
                <c:pt idx="76">
                  <c:v>42175</c:v>
                </c:pt>
                <c:pt idx="77">
                  <c:v>42176</c:v>
                </c:pt>
                <c:pt idx="78">
                  <c:v>42177</c:v>
                </c:pt>
                <c:pt idx="79">
                  <c:v>42178</c:v>
                </c:pt>
                <c:pt idx="80">
                  <c:v>42179</c:v>
                </c:pt>
                <c:pt idx="81">
                  <c:v>42180</c:v>
                </c:pt>
                <c:pt idx="82">
                  <c:v>42181</c:v>
                </c:pt>
                <c:pt idx="83">
                  <c:v>42182</c:v>
                </c:pt>
                <c:pt idx="84">
                  <c:v>42183</c:v>
                </c:pt>
                <c:pt idx="85">
                  <c:v>42184</c:v>
                </c:pt>
                <c:pt idx="86">
                  <c:v>42185</c:v>
                </c:pt>
                <c:pt idx="87">
                  <c:v>42186</c:v>
                </c:pt>
                <c:pt idx="88">
                  <c:v>42187</c:v>
                </c:pt>
                <c:pt idx="89">
                  <c:v>42188</c:v>
                </c:pt>
                <c:pt idx="90">
                  <c:v>42189</c:v>
                </c:pt>
                <c:pt idx="91">
                  <c:v>42190</c:v>
                </c:pt>
                <c:pt idx="92">
                  <c:v>42191</c:v>
                </c:pt>
                <c:pt idx="93">
                  <c:v>42192</c:v>
                </c:pt>
                <c:pt idx="94">
                  <c:v>42193</c:v>
                </c:pt>
                <c:pt idx="95">
                  <c:v>42194</c:v>
                </c:pt>
                <c:pt idx="96">
                  <c:v>42195</c:v>
                </c:pt>
                <c:pt idx="97">
                  <c:v>42196</c:v>
                </c:pt>
                <c:pt idx="98">
                  <c:v>42197</c:v>
                </c:pt>
                <c:pt idx="99">
                  <c:v>42198</c:v>
                </c:pt>
                <c:pt idx="100">
                  <c:v>42199</c:v>
                </c:pt>
                <c:pt idx="101">
                  <c:v>42200</c:v>
                </c:pt>
                <c:pt idx="102">
                  <c:v>42201</c:v>
                </c:pt>
                <c:pt idx="103">
                  <c:v>42202</c:v>
                </c:pt>
                <c:pt idx="104">
                  <c:v>42203</c:v>
                </c:pt>
                <c:pt idx="105">
                  <c:v>42204</c:v>
                </c:pt>
                <c:pt idx="106">
                  <c:v>42205</c:v>
                </c:pt>
                <c:pt idx="107">
                  <c:v>42206</c:v>
                </c:pt>
                <c:pt idx="108">
                  <c:v>42207</c:v>
                </c:pt>
                <c:pt idx="109">
                  <c:v>42208</c:v>
                </c:pt>
                <c:pt idx="110">
                  <c:v>42209</c:v>
                </c:pt>
                <c:pt idx="111">
                  <c:v>42210</c:v>
                </c:pt>
                <c:pt idx="112">
                  <c:v>42211</c:v>
                </c:pt>
                <c:pt idx="113">
                  <c:v>42212</c:v>
                </c:pt>
                <c:pt idx="114">
                  <c:v>42213</c:v>
                </c:pt>
                <c:pt idx="115">
                  <c:v>42214</c:v>
                </c:pt>
                <c:pt idx="116">
                  <c:v>42215</c:v>
                </c:pt>
                <c:pt idx="117">
                  <c:v>42216</c:v>
                </c:pt>
                <c:pt idx="118">
                  <c:v>42217</c:v>
                </c:pt>
                <c:pt idx="119">
                  <c:v>42218</c:v>
                </c:pt>
                <c:pt idx="120">
                  <c:v>42219</c:v>
                </c:pt>
                <c:pt idx="121">
                  <c:v>42220</c:v>
                </c:pt>
                <c:pt idx="122">
                  <c:v>42221</c:v>
                </c:pt>
                <c:pt idx="123">
                  <c:v>42222</c:v>
                </c:pt>
                <c:pt idx="124">
                  <c:v>42223</c:v>
                </c:pt>
                <c:pt idx="125">
                  <c:v>42224</c:v>
                </c:pt>
                <c:pt idx="126">
                  <c:v>42225</c:v>
                </c:pt>
                <c:pt idx="127">
                  <c:v>42226</c:v>
                </c:pt>
                <c:pt idx="128">
                  <c:v>42227</c:v>
                </c:pt>
                <c:pt idx="129">
                  <c:v>42228</c:v>
                </c:pt>
                <c:pt idx="130">
                  <c:v>42229</c:v>
                </c:pt>
                <c:pt idx="131">
                  <c:v>42230</c:v>
                </c:pt>
                <c:pt idx="132">
                  <c:v>42231</c:v>
                </c:pt>
                <c:pt idx="133">
                  <c:v>42232</c:v>
                </c:pt>
                <c:pt idx="134">
                  <c:v>42233</c:v>
                </c:pt>
                <c:pt idx="135">
                  <c:v>42234</c:v>
                </c:pt>
                <c:pt idx="136">
                  <c:v>42235</c:v>
                </c:pt>
                <c:pt idx="137">
                  <c:v>42236</c:v>
                </c:pt>
                <c:pt idx="138">
                  <c:v>42237</c:v>
                </c:pt>
                <c:pt idx="139">
                  <c:v>42238</c:v>
                </c:pt>
                <c:pt idx="140">
                  <c:v>42239</c:v>
                </c:pt>
                <c:pt idx="141">
                  <c:v>42240</c:v>
                </c:pt>
                <c:pt idx="142">
                  <c:v>42241</c:v>
                </c:pt>
                <c:pt idx="143">
                  <c:v>42242</c:v>
                </c:pt>
                <c:pt idx="144">
                  <c:v>42243</c:v>
                </c:pt>
                <c:pt idx="145">
                  <c:v>42244</c:v>
                </c:pt>
                <c:pt idx="146">
                  <c:v>42245</c:v>
                </c:pt>
                <c:pt idx="147">
                  <c:v>42246</c:v>
                </c:pt>
                <c:pt idx="148">
                  <c:v>42247</c:v>
                </c:pt>
                <c:pt idx="149">
                  <c:v>42248</c:v>
                </c:pt>
                <c:pt idx="150">
                  <c:v>42249</c:v>
                </c:pt>
                <c:pt idx="151">
                  <c:v>42250</c:v>
                </c:pt>
                <c:pt idx="152">
                  <c:v>42251</c:v>
                </c:pt>
                <c:pt idx="153">
                  <c:v>42252</c:v>
                </c:pt>
                <c:pt idx="154">
                  <c:v>42253</c:v>
                </c:pt>
                <c:pt idx="155">
                  <c:v>42254</c:v>
                </c:pt>
                <c:pt idx="156">
                  <c:v>42255</c:v>
                </c:pt>
                <c:pt idx="157">
                  <c:v>42256</c:v>
                </c:pt>
                <c:pt idx="158">
                  <c:v>42257</c:v>
                </c:pt>
                <c:pt idx="159">
                  <c:v>42258</c:v>
                </c:pt>
                <c:pt idx="160">
                  <c:v>42259</c:v>
                </c:pt>
                <c:pt idx="161">
                  <c:v>42260</c:v>
                </c:pt>
                <c:pt idx="162">
                  <c:v>42261</c:v>
                </c:pt>
                <c:pt idx="163">
                  <c:v>42262</c:v>
                </c:pt>
                <c:pt idx="164">
                  <c:v>42263</c:v>
                </c:pt>
                <c:pt idx="165">
                  <c:v>42264</c:v>
                </c:pt>
                <c:pt idx="166">
                  <c:v>42265</c:v>
                </c:pt>
                <c:pt idx="167">
                  <c:v>42266</c:v>
                </c:pt>
                <c:pt idx="168">
                  <c:v>42267</c:v>
                </c:pt>
                <c:pt idx="169">
                  <c:v>42268</c:v>
                </c:pt>
                <c:pt idx="170">
                  <c:v>42269</c:v>
                </c:pt>
                <c:pt idx="171">
                  <c:v>42270</c:v>
                </c:pt>
                <c:pt idx="172">
                  <c:v>42271</c:v>
                </c:pt>
                <c:pt idx="173">
                  <c:v>42272</c:v>
                </c:pt>
                <c:pt idx="174">
                  <c:v>42273</c:v>
                </c:pt>
                <c:pt idx="175">
                  <c:v>42274</c:v>
                </c:pt>
                <c:pt idx="176">
                  <c:v>42275</c:v>
                </c:pt>
                <c:pt idx="177">
                  <c:v>42276</c:v>
                </c:pt>
                <c:pt idx="178">
                  <c:v>42277</c:v>
                </c:pt>
                <c:pt idx="179">
                  <c:v>42278</c:v>
                </c:pt>
                <c:pt idx="180">
                  <c:v>42279</c:v>
                </c:pt>
                <c:pt idx="181">
                  <c:v>42280</c:v>
                </c:pt>
                <c:pt idx="182">
                  <c:v>42281</c:v>
                </c:pt>
                <c:pt idx="183">
                  <c:v>42282</c:v>
                </c:pt>
                <c:pt idx="184">
                  <c:v>42283</c:v>
                </c:pt>
                <c:pt idx="185">
                  <c:v>42284</c:v>
                </c:pt>
                <c:pt idx="186">
                  <c:v>42285</c:v>
                </c:pt>
                <c:pt idx="187">
                  <c:v>42286</c:v>
                </c:pt>
                <c:pt idx="188">
                  <c:v>42287</c:v>
                </c:pt>
                <c:pt idx="189">
                  <c:v>42288</c:v>
                </c:pt>
                <c:pt idx="190">
                  <c:v>42289</c:v>
                </c:pt>
                <c:pt idx="191">
                  <c:v>42290</c:v>
                </c:pt>
                <c:pt idx="192">
                  <c:v>42291</c:v>
                </c:pt>
                <c:pt idx="193">
                  <c:v>42292</c:v>
                </c:pt>
                <c:pt idx="194">
                  <c:v>42293</c:v>
                </c:pt>
                <c:pt idx="195">
                  <c:v>42294</c:v>
                </c:pt>
                <c:pt idx="196">
                  <c:v>42295</c:v>
                </c:pt>
                <c:pt idx="197">
                  <c:v>42296</c:v>
                </c:pt>
                <c:pt idx="198">
                  <c:v>42297</c:v>
                </c:pt>
                <c:pt idx="199">
                  <c:v>42298</c:v>
                </c:pt>
                <c:pt idx="200">
                  <c:v>42299</c:v>
                </c:pt>
                <c:pt idx="201">
                  <c:v>42300</c:v>
                </c:pt>
                <c:pt idx="202">
                  <c:v>42301</c:v>
                </c:pt>
                <c:pt idx="203">
                  <c:v>42302</c:v>
                </c:pt>
                <c:pt idx="204">
                  <c:v>42303</c:v>
                </c:pt>
                <c:pt idx="205">
                  <c:v>42304</c:v>
                </c:pt>
                <c:pt idx="206">
                  <c:v>42305</c:v>
                </c:pt>
                <c:pt idx="207">
                  <c:v>42306</c:v>
                </c:pt>
                <c:pt idx="208">
                  <c:v>42307</c:v>
                </c:pt>
                <c:pt idx="209">
                  <c:v>42308</c:v>
                </c:pt>
                <c:pt idx="210">
                  <c:v>42309</c:v>
                </c:pt>
                <c:pt idx="211">
                  <c:v>42310</c:v>
                </c:pt>
                <c:pt idx="212">
                  <c:v>42311</c:v>
                </c:pt>
                <c:pt idx="213">
                  <c:v>42312</c:v>
                </c:pt>
                <c:pt idx="214">
                  <c:v>42313</c:v>
                </c:pt>
                <c:pt idx="215">
                  <c:v>42314</c:v>
                </c:pt>
                <c:pt idx="216">
                  <c:v>42315</c:v>
                </c:pt>
                <c:pt idx="217">
                  <c:v>42316</c:v>
                </c:pt>
                <c:pt idx="218">
                  <c:v>42317</c:v>
                </c:pt>
                <c:pt idx="219">
                  <c:v>42318</c:v>
                </c:pt>
                <c:pt idx="220">
                  <c:v>42319</c:v>
                </c:pt>
                <c:pt idx="221">
                  <c:v>42320</c:v>
                </c:pt>
                <c:pt idx="222">
                  <c:v>42321</c:v>
                </c:pt>
                <c:pt idx="223">
                  <c:v>42322</c:v>
                </c:pt>
                <c:pt idx="224">
                  <c:v>42323</c:v>
                </c:pt>
                <c:pt idx="225">
                  <c:v>42324</c:v>
                </c:pt>
                <c:pt idx="226">
                  <c:v>42325</c:v>
                </c:pt>
                <c:pt idx="227">
                  <c:v>42326</c:v>
                </c:pt>
                <c:pt idx="228">
                  <c:v>42327</c:v>
                </c:pt>
                <c:pt idx="229">
                  <c:v>42328</c:v>
                </c:pt>
                <c:pt idx="230">
                  <c:v>42329</c:v>
                </c:pt>
                <c:pt idx="231">
                  <c:v>42330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42336</c:v>
                </c:pt>
                <c:pt idx="238">
                  <c:v>42337</c:v>
                </c:pt>
                <c:pt idx="239">
                  <c:v>42338</c:v>
                </c:pt>
                <c:pt idx="240">
                  <c:v>42339</c:v>
                </c:pt>
                <c:pt idx="241">
                  <c:v>42340</c:v>
                </c:pt>
                <c:pt idx="242">
                  <c:v>42341</c:v>
                </c:pt>
                <c:pt idx="243">
                  <c:v>42342</c:v>
                </c:pt>
                <c:pt idx="244">
                  <c:v>42343</c:v>
                </c:pt>
                <c:pt idx="245">
                  <c:v>42344</c:v>
                </c:pt>
                <c:pt idx="246">
                  <c:v>42345</c:v>
                </c:pt>
                <c:pt idx="247">
                  <c:v>42346</c:v>
                </c:pt>
                <c:pt idx="248">
                  <c:v>42347</c:v>
                </c:pt>
                <c:pt idx="249">
                  <c:v>42348</c:v>
                </c:pt>
                <c:pt idx="250">
                  <c:v>42349</c:v>
                </c:pt>
                <c:pt idx="251">
                  <c:v>42350</c:v>
                </c:pt>
                <c:pt idx="252">
                  <c:v>42351</c:v>
                </c:pt>
                <c:pt idx="253">
                  <c:v>42352</c:v>
                </c:pt>
                <c:pt idx="254">
                  <c:v>42353</c:v>
                </c:pt>
                <c:pt idx="255">
                  <c:v>42354</c:v>
                </c:pt>
                <c:pt idx="256">
                  <c:v>42355</c:v>
                </c:pt>
                <c:pt idx="257">
                  <c:v>42356</c:v>
                </c:pt>
                <c:pt idx="258">
                  <c:v>42357</c:v>
                </c:pt>
                <c:pt idx="259">
                  <c:v>42358</c:v>
                </c:pt>
                <c:pt idx="260">
                  <c:v>42359</c:v>
                </c:pt>
                <c:pt idx="261">
                  <c:v>42360</c:v>
                </c:pt>
                <c:pt idx="262">
                  <c:v>42361</c:v>
                </c:pt>
                <c:pt idx="263">
                  <c:v>42362</c:v>
                </c:pt>
                <c:pt idx="264">
                  <c:v>42363</c:v>
                </c:pt>
                <c:pt idx="265">
                  <c:v>42364</c:v>
                </c:pt>
                <c:pt idx="266">
                  <c:v>42365</c:v>
                </c:pt>
                <c:pt idx="267">
                  <c:v>42366</c:v>
                </c:pt>
                <c:pt idx="268">
                  <c:v>42367</c:v>
                </c:pt>
                <c:pt idx="269">
                  <c:v>42368</c:v>
                </c:pt>
                <c:pt idx="270">
                  <c:v>42369</c:v>
                </c:pt>
                <c:pt idx="271">
                  <c:v>42370</c:v>
                </c:pt>
                <c:pt idx="272">
                  <c:v>42371</c:v>
                </c:pt>
                <c:pt idx="273">
                  <c:v>42372</c:v>
                </c:pt>
                <c:pt idx="274">
                  <c:v>42373</c:v>
                </c:pt>
                <c:pt idx="275">
                  <c:v>42374</c:v>
                </c:pt>
                <c:pt idx="276">
                  <c:v>42375</c:v>
                </c:pt>
                <c:pt idx="277">
                  <c:v>42376</c:v>
                </c:pt>
                <c:pt idx="278">
                  <c:v>42377</c:v>
                </c:pt>
                <c:pt idx="279">
                  <c:v>42378</c:v>
                </c:pt>
                <c:pt idx="280">
                  <c:v>42379</c:v>
                </c:pt>
                <c:pt idx="281">
                  <c:v>42380</c:v>
                </c:pt>
                <c:pt idx="282">
                  <c:v>42381</c:v>
                </c:pt>
                <c:pt idx="283">
                  <c:v>42382</c:v>
                </c:pt>
                <c:pt idx="284">
                  <c:v>42383</c:v>
                </c:pt>
                <c:pt idx="285">
                  <c:v>42384</c:v>
                </c:pt>
                <c:pt idx="286">
                  <c:v>42385</c:v>
                </c:pt>
                <c:pt idx="287">
                  <c:v>42386</c:v>
                </c:pt>
                <c:pt idx="288">
                  <c:v>42387</c:v>
                </c:pt>
                <c:pt idx="289">
                  <c:v>42388</c:v>
                </c:pt>
                <c:pt idx="290">
                  <c:v>42389</c:v>
                </c:pt>
                <c:pt idx="291">
                  <c:v>42390</c:v>
                </c:pt>
                <c:pt idx="292">
                  <c:v>42391</c:v>
                </c:pt>
                <c:pt idx="293">
                  <c:v>42392</c:v>
                </c:pt>
                <c:pt idx="294">
                  <c:v>42393</c:v>
                </c:pt>
                <c:pt idx="295">
                  <c:v>42394</c:v>
                </c:pt>
                <c:pt idx="296">
                  <c:v>42395</c:v>
                </c:pt>
                <c:pt idx="297">
                  <c:v>42396</c:v>
                </c:pt>
                <c:pt idx="298">
                  <c:v>42397</c:v>
                </c:pt>
                <c:pt idx="299">
                  <c:v>42398</c:v>
                </c:pt>
                <c:pt idx="300">
                  <c:v>42399</c:v>
                </c:pt>
                <c:pt idx="301">
                  <c:v>42400</c:v>
                </c:pt>
                <c:pt idx="302">
                  <c:v>42401</c:v>
                </c:pt>
                <c:pt idx="303">
                  <c:v>42402</c:v>
                </c:pt>
                <c:pt idx="304">
                  <c:v>42403</c:v>
                </c:pt>
                <c:pt idx="305">
                  <c:v>42404</c:v>
                </c:pt>
                <c:pt idx="306">
                  <c:v>42405</c:v>
                </c:pt>
                <c:pt idx="307">
                  <c:v>42406</c:v>
                </c:pt>
                <c:pt idx="308">
                  <c:v>42407</c:v>
                </c:pt>
                <c:pt idx="309">
                  <c:v>42408</c:v>
                </c:pt>
                <c:pt idx="310">
                  <c:v>42409</c:v>
                </c:pt>
                <c:pt idx="311">
                  <c:v>42410</c:v>
                </c:pt>
                <c:pt idx="312">
                  <c:v>42411</c:v>
                </c:pt>
                <c:pt idx="313">
                  <c:v>42412</c:v>
                </c:pt>
                <c:pt idx="314">
                  <c:v>42413</c:v>
                </c:pt>
                <c:pt idx="315">
                  <c:v>42414</c:v>
                </c:pt>
                <c:pt idx="316">
                  <c:v>42415</c:v>
                </c:pt>
                <c:pt idx="317">
                  <c:v>42416</c:v>
                </c:pt>
                <c:pt idx="318">
                  <c:v>42417</c:v>
                </c:pt>
                <c:pt idx="319">
                  <c:v>42418</c:v>
                </c:pt>
                <c:pt idx="320">
                  <c:v>42419</c:v>
                </c:pt>
                <c:pt idx="321">
                  <c:v>42420</c:v>
                </c:pt>
                <c:pt idx="322">
                  <c:v>42421</c:v>
                </c:pt>
                <c:pt idx="323">
                  <c:v>42422</c:v>
                </c:pt>
                <c:pt idx="324">
                  <c:v>42423</c:v>
                </c:pt>
                <c:pt idx="325">
                  <c:v>42424</c:v>
                </c:pt>
                <c:pt idx="326">
                  <c:v>42425</c:v>
                </c:pt>
                <c:pt idx="327">
                  <c:v>42426</c:v>
                </c:pt>
                <c:pt idx="328">
                  <c:v>42427</c:v>
                </c:pt>
                <c:pt idx="329">
                  <c:v>42428</c:v>
                </c:pt>
                <c:pt idx="330">
                  <c:v>42429</c:v>
                </c:pt>
                <c:pt idx="331">
                  <c:v>42430</c:v>
                </c:pt>
                <c:pt idx="332">
                  <c:v>42431</c:v>
                </c:pt>
                <c:pt idx="333">
                  <c:v>42432</c:v>
                </c:pt>
                <c:pt idx="334">
                  <c:v>42433</c:v>
                </c:pt>
                <c:pt idx="335">
                  <c:v>42434</c:v>
                </c:pt>
                <c:pt idx="336">
                  <c:v>42435</c:v>
                </c:pt>
                <c:pt idx="337">
                  <c:v>42436</c:v>
                </c:pt>
                <c:pt idx="338">
                  <c:v>42437</c:v>
                </c:pt>
                <c:pt idx="339">
                  <c:v>42438</c:v>
                </c:pt>
                <c:pt idx="340">
                  <c:v>42439</c:v>
                </c:pt>
                <c:pt idx="341">
                  <c:v>42440</c:v>
                </c:pt>
                <c:pt idx="342">
                  <c:v>42441</c:v>
                </c:pt>
                <c:pt idx="343">
                  <c:v>42442</c:v>
                </c:pt>
                <c:pt idx="344">
                  <c:v>42443</c:v>
                </c:pt>
                <c:pt idx="345">
                  <c:v>42444</c:v>
                </c:pt>
                <c:pt idx="346">
                  <c:v>42445</c:v>
                </c:pt>
                <c:pt idx="347">
                  <c:v>42446</c:v>
                </c:pt>
                <c:pt idx="348">
                  <c:v>42447</c:v>
                </c:pt>
                <c:pt idx="349">
                  <c:v>42448</c:v>
                </c:pt>
                <c:pt idx="350">
                  <c:v>42449</c:v>
                </c:pt>
                <c:pt idx="351">
                  <c:v>42450</c:v>
                </c:pt>
                <c:pt idx="352">
                  <c:v>42451</c:v>
                </c:pt>
                <c:pt idx="353">
                  <c:v>42452</c:v>
                </c:pt>
                <c:pt idx="354">
                  <c:v>42453</c:v>
                </c:pt>
                <c:pt idx="355">
                  <c:v>42454</c:v>
                </c:pt>
                <c:pt idx="356">
                  <c:v>42455</c:v>
                </c:pt>
                <c:pt idx="357">
                  <c:v>42456</c:v>
                </c:pt>
                <c:pt idx="358">
                  <c:v>42457</c:v>
                </c:pt>
                <c:pt idx="359">
                  <c:v>42458</c:v>
                </c:pt>
                <c:pt idx="360">
                  <c:v>42459</c:v>
                </c:pt>
                <c:pt idx="361">
                  <c:v>42460</c:v>
                </c:pt>
                <c:pt idx="362">
                  <c:v>42461</c:v>
                </c:pt>
                <c:pt idx="363">
                  <c:v>42462</c:v>
                </c:pt>
                <c:pt idx="364">
                  <c:v>42463</c:v>
                </c:pt>
                <c:pt idx="365">
                  <c:v>42464</c:v>
                </c:pt>
                <c:pt idx="366">
                  <c:v>42465</c:v>
                </c:pt>
                <c:pt idx="367">
                  <c:v>42466</c:v>
                </c:pt>
                <c:pt idx="368">
                  <c:v>42467</c:v>
                </c:pt>
                <c:pt idx="369">
                  <c:v>42468</c:v>
                </c:pt>
                <c:pt idx="370">
                  <c:v>42469</c:v>
                </c:pt>
                <c:pt idx="371">
                  <c:v>42470</c:v>
                </c:pt>
                <c:pt idx="372">
                  <c:v>42471</c:v>
                </c:pt>
                <c:pt idx="373">
                  <c:v>42472</c:v>
                </c:pt>
                <c:pt idx="374">
                  <c:v>42473</c:v>
                </c:pt>
                <c:pt idx="375">
                  <c:v>42474</c:v>
                </c:pt>
                <c:pt idx="376">
                  <c:v>42475</c:v>
                </c:pt>
                <c:pt idx="377">
                  <c:v>42476</c:v>
                </c:pt>
                <c:pt idx="378">
                  <c:v>42477</c:v>
                </c:pt>
                <c:pt idx="379">
                  <c:v>42478</c:v>
                </c:pt>
                <c:pt idx="380">
                  <c:v>42479</c:v>
                </c:pt>
                <c:pt idx="381">
                  <c:v>42480</c:v>
                </c:pt>
                <c:pt idx="382">
                  <c:v>42481</c:v>
                </c:pt>
                <c:pt idx="383">
                  <c:v>42482</c:v>
                </c:pt>
                <c:pt idx="384">
                  <c:v>42483</c:v>
                </c:pt>
                <c:pt idx="385">
                  <c:v>42484</c:v>
                </c:pt>
                <c:pt idx="386">
                  <c:v>42485</c:v>
                </c:pt>
                <c:pt idx="387">
                  <c:v>42486</c:v>
                </c:pt>
                <c:pt idx="388">
                  <c:v>42487</c:v>
                </c:pt>
                <c:pt idx="389">
                  <c:v>42488</c:v>
                </c:pt>
                <c:pt idx="390">
                  <c:v>42489</c:v>
                </c:pt>
                <c:pt idx="391">
                  <c:v>42490</c:v>
                </c:pt>
                <c:pt idx="392">
                  <c:v>42491</c:v>
                </c:pt>
                <c:pt idx="393">
                  <c:v>42492</c:v>
                </c:pt>
                <c:pt idx="394">
                  <c:v>42493</c:v>
                </c:pt>
                <c:pt idx="395">
                  <c:v>42494</c:v>
                </c:pt>
                <c:pt idx="396">
                  <c:v>42495</c:v>
                </c:pt>
                <c:pt idx="397">
                  <c:v>42496</c:v>
                </c:pt>
                <c:pt idx="398">
                  <c:v>42497</c:v>
                </c:pt>
                <c:pt idx="399">
                  <c:v>42498</c:v>
                </c:pt>
                <c:pt idx="400">
                  <c:v>42499</c:v>
                </c:pt>
                <c:pt idx="401">
                  <c:v>42500</c:v>
                </c:pt>
                <c:pt idx="402">
                  <c:v>42501</c:v>
                </c:pt>
                <c:pt idx="403">
                  <c:v>42502</c:v>
                </c:pt>
                <c:pt idx="404">
                  <c:v>42503</c:v>
                </c:pt>
                <c:pt idx="405">
                  <c:v>42504</c:v>
                </c:pt>
                <c:pt idx="406">
                  <c:v>42505</c:v>
                </c:pt>
                <c:pt idx="407">
                  <c:v>42506</c:v>
                </c:pt>
                <c:pt idx="408">
                  <c:v>42507</c:v>
                </c:pt>
                <c:pt idx="409">
                  <c:v>42508</c:v>
                </c:pt>
                <c:pt idx="410">
                  <c:v>42509</c:v>
                </c:pt>
                <c:pt idx="411">
                  <c:v>42510</c:v>
                </c:pt>
                <c:pt idx="412">
                  <c:v>42511</c:v>
                </c:pt>
                <c:pt idx="413">
                  <c:v>42512</c:v>
                </c:pt>
                <c:pt idx="414">
                  <c:v>42513</c:v>
                </c:pt>
                <c:pt idx="415">
                  <c:v>42514</c:v>
                </c:pt>
                <c:pt idx="416">
                  <c:v>42515</c:v>
                </c:pt>
                <c:pt idx="417">
                  <c:v>42516</c:v>
                </c:pt>
                <c:pt idx="418">
                  <c:v>42517</c:v>
                </c:pt>
                <c:pt idx="419">
                  <c:v>42518</c:v>
                </c:pt>
                <c:pt idx="420">
                  <c:v>42519</c:v>
                </c:pt>
                <c:pt idx="421">
                  <c:v>42520</c:v>
                </c:pt>
                <c:pt idx="422">
                  <c:v>42521</c:v>
                </c:pt>
                <c:pt idx="423">
                  <c:v>42522</c:v>
                </c:pt>
                <c:pt idx="424">
                  <c:v>42523</c:v>
                </c:pt>
                <c:pt idx="425">
                  <c:v>42524</c:v>
                </c:pt>
                <c:pt idx="426">
                  <c:v>42525</c:v>
                </c:pt>
                <c:pt idx="427">
                  <c:v>42526</c:v>
                </c:pt>
                <c:pt idx="428">
                  <c:v>42527</c:v>
                </c:pt>
                <c:pt idx="429">
                  <c:v>42528</c:v>
                </c:pt>
                <c:pt idx="430">
                  <c:v>42529</c:v>
                </c:pt>
                <c:pt idx="431">
                  <c:v>42530</c:v>
                </c:pt>
                <c:pt idx="432">
                  <c:v>42531</c:v>
                </c:pt>
                <c:pt idx="433">
                  <c:v>42532</c:v>
                </c:pt>
                <c:pt idx="434">
                  <c:v>42533</c:v>
                </c:pt>
                <c:pt idx="435">
                  <c:v>42534</c:v>
                </c:pt>
                <c:pt idx="436">
                  <c:v>42535</c:v>
                </c:pt>
                <c:pt idx="437">
                  <c:v>42536</c:v>
                </c:pt>
                <c:pt idx="438">
                  <c:v>42537</c:v>
                </c:pt>
                <c:pt idx="439">
                  <c:v>42538</c:v>
                </c:pt>
                <c:pt idx="440">
                  <c:v>42539</c:v>
                </c:pt>
                <c:pt idx="441">
                  <c:v>42540</c:v>
                </c:pt>
                <c:pt idx="442">
                  <c:v>42541</c:v>
                </c:pt>
                <c:pt idx="443">
                  <c:v>42542</c:v>
                </c:pt>
                <c:pt idx="444">
                  <c:v>42543</c:v>
                </c:pt>
                <c:pt idx="445">
                  <c:v>42544</c:v>
                </c:pt>
                <c:pt idx="446">
                  <c:v>42545</c:v>
                </c:pt>
                <c:pt idx="447">
                  <c:v>42546</c:v>
                </c:pt>
                <c:pt idx="448">
                  <c:v>42547</c:v>
                </c:pt>
                <c:pt idx="449">
                  <c:v>42548</c:v>
                </c:pt>
                <c:pt idx="450">
                  <c:v>42549</c:v>
                </c:pt>
                <c:pt idx="451">
                  <c:v>42550</c:v>
                </c:pt>
                <c:pt idx="452">
                  <c:v>42551</c:v>
                </c:pt>
                <c:pt idx="453">
                  <c:v>42552</c:v>
                </c:pt>
                <c:pt idx="454">
                  <c:v>42553</c:v>
                </c:pt>
                <c:pt idx="455">
                  <c:v>42554</c:v>
                </c:pt>
                <c:pt idx="456">
                  <c:v>42555</c:v>
                </c:pt>
                <c:pt idx="457">
                  <c:v>42556</c:v>
                </c:pt>
                <c:pt idx="458">
                  <c:v>42557</c:v>
                </c:pt>
                <c:pt idx="459">
                  <c:v>42558</c:v>
                </c:pt>
                <c:pt idx="460">
                  <c:v>42559</c:v>
                </c:pt>
                <c:pt idx="461">
                  <c:v>42560</c:v>
                </c:pt>
                <c:pt idx="462">
                  <c:v>42561</c:v>
                </c:pt>
                <c:pt idx="463">
                  <c:v>42562</c:v>
                </c:pt>
                <c:pt idx="464">
                  <c:v>42563</c:v>
                </c:pt>
                <c:pt idx="465">
                  <c:v>42564</c:v>
                </c:pt>
                <c:pt idx="466">
                  <c:v>42565</c:v>
                </c:pt>
                <c:pt idx="467">
                  <c:v>42566</c:v>
                </c:pt>
                <c:pt idx="468">
                  <c:v>42567</c:v>
                </c:pt>
                <c:pt idx="469">
                  <c:v>42568</c:v>
                </c:pt>
                <c:pt idx="470">
                  <c:v>42569</c:v>
                </c:pt>
                <c:pt idx="471">
                  <c:v>42570</c:v>
                </c:pt>
                <c:pt idx="472">
                  <c:v>42571</c:v>
                </c:pt>
                <c:pt idx="473">
                  <c:v>42572</c:v>
                </c:pt>
                <c:pt idx="474">
                  <c:v>42573</c:v>
                </c:pt>
                <c:pt idx="475">
                  <c:v>42574</c:v>
                </c:pt>
                <c:pt idx="476">
                  <c:v>42575</c:v>
                </c:pt>
                <c:pt idx="477">
                  <c:v>42576</c:v>
                </c:pt>
                <c:pt idx="478">
                  <c:v>42577</c:v>
                </c:pt>
                <c:pt idx="479">
                  <c:v>42578</c:v>
                </c:pt>
                <c:pt idx="480">
                  <c:v>42579</c:v>
                </c:pt>
                <c:pt idx="481">
                  <c:v>42580</c:v>
                </c:pt>
                <c:pt idx="482">
                  <c:v>42581</c:v>
                </c:pt>
                <c:pt idx="483">
                  <c:v>42582</c:v>
                </c:pt>
                <c:pt idx="484">
                  <c:v>42583</c:v>
                </c:pt>
                <c:pt idx="485">
                  <c:v>42584</c:v>
                </c:pt>
                <c:pt idx="486">
                  <c:v>42585</c:v>
                </c:pt>
                <c:pt idx="487">
                  <c:v>42586</c:v>
                </c:pt>
                <c:pt idx="488">
                  <c:v>42587</c:v>
                </c:pt>
                <c:pt idx="489">
                  <c:v>42588</c:v>
                </c:pt>
                <c:pt idx="490">
                  <c:v>42589</c:v>
                </c:pt>
                <c:pt idx="491">
                  <c:v>42590</c:v>
                </c:pt>
                <c:pt idx="492">
                  <c:v>42591</c:v>
                </c:pt>
                <c:pt idx="493">
                  <c:v>42592</c:v>
                </c:pt>
                <c:pt idx="494">
                  <c:v>42593</c:v>
                </c:pt>
                <c:pt idx="495">
                  <c:v>42594</c:v>
                </c:pt>
                <c:pt idx="496">
                  <c:v>42595</c:v>
                </c:pt>
                <c:pt idx="497">
                  <c:v>42596</c:v>
                </c:pt>
                <c:pt idx="498">
                  <c:v>42597</c:v>
                </c:pt>
                <c:pt idx="499">
                  <c:v>42598</c:v>
                </c:pt>
                <c:pt idx="500">
                  <c:v>42599</c:v>
                </c:pt>
                <c:pt idx="501">
                  <c:v>42600</c:v>
                </c:pt>
                <c:pt idx="502">
                  <c:v>42601</c:v>
                </c:pt>
                <c:pt idx="503">
                  <c:v>42602</c:v>
                </c:pt>
                <c:pt idx="504">
                  <c:v>42603</c:v>
                </c:pt>
                <c:pt idx="505">
                  <c:v>42604</c:v>
                </c:pt>
                <c:pt idx="506">
                  <c:v>42605</c:v>
                </c:pt>
                <c:pt idx="507">
                  <c:v>42606</c:v>
                </c:pt>
                <c:pt idx="508">
                  <c:v>42607</c:v>
                </c:pt>
                <c:pt idx="509">
                  <c:v>42608</c:v>
                </c:pt>
                <c:pt idx="510">
                  <c:v>42609</c:v>
                </c:pt>
                <c:pt idx="511">
                  <c:v>42610</c:v>
                </c:pt>
                <c:pt idx="512">
                  <c:v>42611</c:v>
                </c:pt>
                <c:pt idx="513">
                  <c:v>42612</c:v>
                </c:pt>
                <c:pt idx="514">
                  <c:v>42613</c:v>
                </c:pt>
                <c:pt idx="515">
                  <c:v>42614</c:v>
                </c:pt>
                <c:pt idx="516">
                  <c:v>42615</c:v>
                </c:pt>
                <c:pt idx="517">
                  <c:v>42616</c:v>
                </c:pt>
                <c:pt idx="518">
                  <c:v>42617</c:v>
                </c:pt>
                <c:pt idx="519">
                  <c:v>42618</c:v>
                </c:pt>
                <c:pt idx="520">
                  <c:v>42619</c:v>
                </c:pt>
                <c:pt idx="521">
                  <c:v>42620</c:v>
                </c:pt>
                <c:pt idx="522">
                  <c:v>42621</c:v>
                </c:pt>
                <c:pt idx="523">
                  <c:v>42622</c:v>
                </c:pt>
                <c:pt idx="524">
                  <c:v>42623</c:v>
                </c:pt>
                <c:pt idx="525">
                  <c:v>42624</c:v>
                </c:pt>
                <c:pt idx="526">
                  <c:v>42625</c:v>
                </c:pt>
                <c:pt idx="527">
                  <c:v>42626</c:v>
                </c:pt>
                <c:pt idx="528">
                  <c:v>42627</c:v>
                </c:pt>
                <c:pt idx="529">
                  <c:v>42628</c:v>
                </c:pt>
                <c:pt idx="530">
                  <c:v>42629</c:v>
                </c:pt>
                <c:pt idx="531">
                  <c:v>42630</c:v>
                </c:pt>
                <c:pt idx="532">
                  <c:v>42631</c:v>
                </c:pt>
                <c:pt idx="533">
                  <c:v>42632</c:v>
                </c:pt>
                <c:pt idx="534">
                  <c:v>42633</c:v>
                </c:pt>
                <c:pt idx="535">
                  <c:v>42634</c:v>
                </c:pt>
                <c:pt idx="536">
                  <c:v>42635</c:v>
                </c:pt>
                <c:pt idx="537">
                  <c:v>42636</c:v>
                </c:pt>
                <c:pt idx="538">
                  <c:v>42637</c:v>
                </c:pt>
                <c:pt idx="539">
                  <c:v>42638</c:v>
                </c:pt>
                <c:pt idx="540">
                  <c:v>42639</c:v>
                </c:pt>
                <c:pt idx="541">
                  <c:v>42640</c:v>
                </c:pt>
                <c:pt idx="542">
                  <c:v>42641</c:v>
                </c:pt>
                <c:pt idx="543">
                  <c:v>42642</c:v>
                </c:pt>
                <c:pt idx="544">
                  <c:v>42643</c:v>
                </c:pt>
                <c:pt idx="545">
                  <c:v>42644</c:v>
                </c:pt>
                <c:pt idx="546">
                  <c:v>42645</c:v>
                </c:pt>
                <c:pt idx="547">
                  <c:v>42646</c:v>
                </c:pt>
                <c:pt idx="548">
                  <c:v>42647</c:v>
                </c:pt>
                <c:pt idx="549">
                  <c:v>42648</c:v>
                </c:pt>
                <c:pt idx="550">
                  <c:v>42649</c:v>
                </c:pt>
                <c:pt idx="551">
                  <c:v>42650</c:v>
                </c:pt>
                <c:pt idx="552">
                  <c:v>42651</c:v>
                </c:pt>
                <c:pt idx="553">
                  <c:v>42652</c:v>
                </c:pt>
                <c:pt idx="554">
                  <c:v>42653</c:v>
                </c:pt>
                <c:pt idx="555">
                  <c:v>42654</c:v>
                </c:pt>
                <c:pt idx="556">
                  <c:v>42655</c:v>
                </c:pt>
                <c:pt idx="557">
                  <c:v>42656</c:v>
                </c:pt>
                <c:pt idx="558">
                  <c:v>42657</c:v>
                </c:pt>
                <c:pt idx="559">
                  <c:v>42658</c:v>
                </c:pt>
                <c:pt idx="560">
                  <c:v>42659</c:v>
                </c:pt>
                <c:pt idx="561">
                  <c:v>42660</c:v>
                </c:pt>
                <c:pt idx="562">
                  <c:v>42661</c:v>
                </c:pt>
                <c:pt idx="563">
                  <c:v>42662</c:v>
                </c:pt>
                <c:pt idx="564">
                  <c:v>42663</c:v>
                </c:pt>
                <c:pt idx="565">
                  <c:v>42664</c:v>
                </c:pt>
                <c:pt idx="566">
                  <c:v>42665</c:v>
                </c:pt>
                <c:pt idx="567">
                  <c:v>42666</c:v>
                </c:pt>
                <c:pt idx="568">
                  <c:v>42667</c:v>
                </c:pt>
                <c:pt idx="569">
                  <c:v>42668</c:v>
                </c:pt>
                <c:pt idx="570">
                  <c:v>42669</c:v>
                </c:pt>
                <c:pt idx="571">
                  <c:v>42670</c:v>
                </c:pt>
                <c:pt idx="572">
                  <c:v>42671</c:v>
                </c:pt>
                <c:pt idx="573">
                  <c:v>42672</c:v>
                </c:pt>
                <c:pt idx="574">
                  <c:v>42673</c:v>
                </c:pt>
                <c:pt idx="575">
                  <c:v>42674</c:v>
                </c:pt>
                <c:pt idx="576">
                  <c:v>42675</c:v>
                </c:pt>
                <c:pt idx="577">
                  <c:v>42676</c:v>
                </c:pt>
                <c:pt idx="578">
                  <c:v>42677</c:v>
                </c:pt>
                <c:pt idx="579">
                  <c:v>42678</c:v>
                </c:pt>
                <c:pt idx="580">
                  <c:v>42679</c:v>
                </c:pt>
                <c:pt idx="581">
                  <c:v>42680</c:v>
                </c:pt>
                <c:pt idx="582">
                  <c:v>42681</c:v>
                </c:pt>
                <c:pt idx="583">
                  <c:v>42682</c:v>
                </c:pt>
                <c:pt idx="584">
                  <c:v>42683</c:v>
                </c:pt>
                <c:pt idx="585">
                  <c:v>42684</c:v>
                </c:pt>
                <c:pt idx="586">
                  <c:v>42685</c:v>
                </c:pt>
                <c:pt idx="587">
                  <c:v>42686</c:v>
                </c:pt>
                <c:pt idx="588">
                  <c:v>42687</c:v>
                </c:pt>
                <c:pt idx="589">
                  <c:v>42688</c:v>
                </c:pt>
                <c:pt idx="590">
                  <c:v>42689</c:v>
                </c:pt>
                <c:pt idx="591">
                  <c:v>42690</c:v>
                </c:pt>
                <c:pt idx="592">
                  <c:v>42691</c:v>
                </c:pt>
                <c:pt idx="593">
                  <c:v>42692</c:v>
                </c:pt>
                <c:pt idx="594">
                  <c:v>42693</c:v>
                </c:pt>
                <c:pt idx="595">
                  <c:v>42694</c:v>
                </c:pt>
                <c:pt idx="596">
                  <c:v>42695</c:v>
                </c:pt>
                <c:pt idx="597">
                  <c:v>42696</c:v>
                </c:pt>
                <c:pt idx="598">
                  <c:v>42697</c:v>
                </c:pt>
                <c:pt idx="599">
                  <c:v>42698</c:v>
                </c:pt>
                <c:pt idx="600">
                  <c:v>42699</c:v>
                </c:pt>
                <c:pt idx="601">
                  <c:v>42700</c:v>
                </c:pt>
                <c:pt idx="602">
                  <c:v>42701</c:v>
                </c:pt>
                <c:pt idx="603">
                  <c:v>42702</c:v>
                </c:pt>
                <c:pt idx="604">
                  <c:v>42703</c:v>
                </c:pt>
                <c:pt idx="605">
                  <c:v>42704</c:v>
                </c:pt>
                <c:pt idx="606">
                  <c:v>42705</c:v>
                </c:pt>
                <c:pt idx="607">
                  <c:v>42706</c:v>
                </c:pt>
                <c:pt idx="608">
                  <c:v>42707</c:v>
                </c:pt>
                <c:pt idx="609">
                  <c:v>42708</c:v>
                </c:pt>
                <c:pt idx="610">
                  <c:v>42709</c:v>
                </c:pt>
                <c:pt idx="611">
                  <c:v>42710</c:v>
                </c:pt>
                <c:pt idx="612">
                  <c:v>42711</c:v>
                </c:pt>
                <c:pt idx="613">
                  <c:v>42712</c:v>
                </c:pt>
                <c:pt idx="614">
                  <c:v>42713</c:v>
                </c:pt>
                <c:pt idx="615">
                  <c:v>42714</c:v>
                </c:pt>
                <c:pt idx="616">
                  <c:v>42715</c:v>
                </c:pt>
                <c:pt idx="617">
                  <c:v>42716</c:v>
                </c:pt>
                <c:pt idx="618">
                  <c:v>42717</c:v>
                </c:pt>
                <c:pt idx="619">
                  <c:v>42718</c:v>
                </c:pt>
                <c:pt idx="620">
                  <c:v>42719</c:v>
                </c:pt>
                <c:pt idx="621">
                  <c:v>42720</c:v>
                </c:pt>
                <c:pt idx="622">
                  <c:v>42721</c:v>
                </c:pt>
                <c:pt idx="623">
                  <c:v>42722</c:v>
                </c:pt>
                <c:pt idx="624">
                  <c:v>42723</c:v>
                </c:pt>
                <c:pt idx="625">
                  <c:v>42724</c:v>
                </c:pt>
                <c:pt idx="626">
                  <c:v>42725</c:v>
                </c:pt>
                <c:pt idx="627">
                  <c:v>42726</c:v>
                </c:pt>
                <c:pt idx="628">
                  <c:v>42727</c:v>
                </c:pt>
                <c:pt idx="629">
                  <c:v>42728</c:v>
                </c:pt>
                <c:pt idx="630">
                  <c:v>42729</c:v>
                </c:pt>
                <c:pt idx="631">
                  <c:v>42730</c:v>
                </c:pt>
                <c:pt idx="632">
                  <c:v>42731</c:v>
                </c:pt>
                <c:pt idx="633">
                  <c:v>42732</c:v>
                </c:pt>
                <c:pt idx="634">
                  <c:v>42733</c:v>
                </c:pt>
                <c:pt idx="635">
                  <c:v>42734</c:v>
                </c:pt>
                <c:pt idx="636">
                  <c:v>42735</c:v>
                </c:pt>
                <c:pt idx="637">
                  <c:v>42736</c:v>
                </c:pt>
                <c:pt idx="638">
                  <c:v>42737</c:v>
                </c:pt>
                <c:pt idx="639">
                  <c:v>42738</c:v>
                </c:pt>
                <c:pt idx="640">
                  <c:v>42739</c:v>
                </c:pt>
                <c:pt idx="641">
                  <c:v>42740</c:v>
                </c:pt>
                <c:pt idx="642">
                  <c:v>42741</c:v>
                </c:pt>
                <c:pt idx="643">
                  <c:v>42742</c:v>
                </c:pt>
                <c:pt idx="644">
                  <c:v>42743</c:v>
                </c:pt>
                <c:pt idx="645">
                  <c:v>42744</c:v>
                </c:pt>
                <c:pt idx="646">
                  <c:v>42745</c:v>
                </c:pt>
                <c:pt idx="647">
                  <c:v>42746</c:v>
                </c:pt>
                <c:pt idx="648">
                  <c:v>42747</c:v>
                </c:pt>
                <c:pt idx="649">
                  <c:v>42748</c:v>
                </c:pt>
                <c:pt idx="650">
                  <c:v>42749</c:v>
                </c:pt>
                <c:pt idx="651">
                  <c:v>42750</c:v>
                </c:pt>
                <c:pt idx="652">
                  <c:v>42751</c:v>
                </c:pt>
                <c:pt idx="653">
                  <c:v>42752</c:v>
                </c:pt>
                <c:pt idx="654">
                  <c:v>42753</c:v>
                </c:pt>
                <c:pt idx="655">
                  <c:v>42754</c:v>
                </c:pt>
                <c:pt idx="656">
                  <c:v>42755</c:v>
                </c:pt>
                <c:pt idx="657">
                  <c:v>42756</c:v>
                </c:pt>
                <c:pt idx="658">
                  <c:v>42757</c:v>
                </c:pt>
                <c:pt idx="659">
                  <c:v>42758</c:v>
                </c:pt>
                <c:pt idx="660">
                  <c:v>42759</c:v>
                </c:pt>
                <c:pt idx="661">
                  <c:v>42760</c:v>
                </c:pt>
                <c:pt idx="662">
                  <c:v>42761</c:v>
                </c:pt>
                <c:pt idx="663">
                  <c:v>42762</c:v>
                </c:pt>
                <c:pt idx="664">
                  <c:v>42763</c:v>
                </c:pt>
                <c:pt idx="665">
                  <c:v>42764</c:v>
                </c:pt>
                <c:pt idx="666">
                  <c:v>42765</c:v>
                </c:pt>
                <c:pt idx="667">
                  <c:v>42766</c:v>
                </c:pt>
                <c:pt idx="668">
                  <c:v>42767</c:v>
                </c:pt>
                <c:pt idx="669">
                  <c:v>42768</c:v>
                </c:pt>
                <c:pt idx="670">
                  <c:v>42769</c:v>
                </c:pt>
                <c:pt idx="671">
                  <c:v>42770</c:v>
                </c:pt>
                <c:pt idx="672">
                  <c:v>42771</c:v>
                </c:pt>
                <c:pt idx="673">
                  <c:v>42772</c:v>
                </c:pt>
                <c:pt idx="674">
                  <c:v>42773</c:v>
                </c:pt>
                <c:pt idx="675">
                  <c:v>42774</c:v>
                </c:pt>
                <c:pt idx="676">
                  <c:v>42775</c:v>
                </c:pt>
                <c:pt idx="677">
                  <c:v>42776</c:v>
                </c:pt>
                <c:pt idx="678">
                  <c:v>42777</c:v>
                </c:pt>
                <c:pt idx="679">
                  <c:v>42778</c:v>
                </c:pt>
                <c:pt idx="680">
                  <c:v>42779</c:v>
                </c:pt>
                <c:pt idx="681">
                  <c:v>42780</c:v>
                </c:pt>
                <c:pt idx="682">
                  <c:v>42781</c:v>
                </c:pt>
                <c:pt idx="683">
                  <c:v>42782</c:v>
                </c:pt>
                <c:pt idx="684">
                  <c:v>42783</c:v>
                </c:pt>
                <c:pt idx="685">
                  <c:v>42784</c:v>
                </c:pt>
                <c:pt idx="686">
                  <c:v>42785</c:v>
                </c:pt>
                <c:pt idx="687">
                  <c:v>42786</c:v>
                </c:pt>
                <c:pt idx="688">
                  <c:v>42787</c:v>
                </c:pt>
                <c:pt idx="689">
                  <c:v>42788</c:v>
                </c:pt>
                <c:pt idx="690">
                  <c:v>42789</c:v>
                </c:pt>
                <c:pt idx="691">
                  <c:v>42790</c:v>
                </c:pt>
                <c:pt idx="692">
                  <c:v>42791</c:v>
                </c:pt>
                <c:pt idx="693">
                  <c:v>42792</c:v>
                </c:pt>
                <c:pt idx="694">
                  <c:v>42793</c:v>
                </c:pt>
                <c:pt idx="695">
                  <c:v>42794</c:v>
                </c:pt>
                <c:pt idx="696">
                  <c:v>42795</c:v>
                </c:pt>
                <c:pt idx="697">
                  <c:v>42796</c:v>
                </c:pt>
                <c:pt idx="698">
                  <c:v>42797</c:v>
                </c:pt>
                <c:pt idx="699">
                  <c:v>42798</c:v>
                </c:pt>
                <c:pt idx="700">
                  <c:v>42799</c:v>
                </c:pt>
                <c:pt idx="701">
                  <c:v>42800</c:v>
                </c:pt>
                <c:pt idx="702">
                  <c:v>42801</c:v>
                </c:pt>
                <c:pt idx="703">
                  <c:v>42802</c:v>
                </c:pt>
                <c:pt idx="704">
                  <c:v>42803</c:v>
                </c:pt>
                <c:pt idx="705">
                  <c:v>42804</c:v>
                </c:pt>
                <c:pt idx="706">
                  <c:v>42805</c:v>
                </c:pt>
                <c:pt idx="707">
                  <c:v>42806</c:v>
                </c:pt>
                <c:pt idx="708">
                  <c:v>42807</c:v>
                </c:pt>
                <c:pt idx="709">
                  <c:v>42808</c:v>
                </c:pt>
                <c:pt idx="710">
                  <c:v>42809</c:v>
                </c:pt>
                <c:pt idx="711">
                  <c:v>42810</c:v>
                </c:pt>
                <c:pt idx="712">
                  <c:v>42811</c:v>
                </c:pt>
                <c:pt idx="713">
                  <c:v>42812</c:v>
                </c:pt>
                <c:pt idx="714">
                  <c:v>42813</c:v>
                </c:pt>
                <c:pt idx="715">
                  <c:v>42814</c:v>
                </c:pt>
                <c:pt idx="716">
                  <c:v>42815</c:v>
                </c:pt>
                <c:pt idx="717">
                  <c:v>42816</c:v>
                </c:pt>
                <c:pt idx="718">
                  <c:v>42817</c:v>
                </c:pt>
                <c:pt idx="719">
                  <c:v>42818</c:v>
                </c:pt>
                <c:pt idx="720">
                  <c:v>42819</c:v>
                </c:pt>
                <c:pt idx="721">
                  <c:v>42820</c:v>
                </c:pt>
                <c:pt idx="722">
                  <c:v>42821</c:v>
                </c:pt>
                <c:pt idx="723">
                  <c:v>42822</c:v>
                </c:pt>
                <c:pt idx="724">
                  <c:v>42823</c:v>
                </c:pt>
                <c:pt idx="725">
                  <c:v>42824</c:v>
                </c:pt>
                <c:pt idx="726">
                  <c:v>42825</c:v>
                </c:pt>
                <c:pt idx="727">
                  <c:v>42826</c:v>
                </c:pt>
                <c:pt idx="728">
                  <c:v>42827</c:v>
                </c:pt>
                <c:pt idx="729">
                  <c:v>42828</c:v>
                </c:pt>
                <c:pt idx="730">
                  <c:v>42829</c:v>
                </c:pt>
                <c:pt idx="731">
                  <c:v>42830</c:v>
                </c:pt>
                <c:pt idx="732">
                  <c:v>42831</c:v>
                </c:pt>
                <c:pt idx="733">
                  <c:v>42832</c:v>
                </c:pt>
                <c:pt idx="734">
                  <c:v>42833</c:v>
                </c:pt>
                <c:pt idx="735">
                  <c:v>42834</c:v>
                </c:pt>
                <c:pt idx="736">
                  <c:v>42835</c:v>
                </c:pt>
                <c:pt idx="737">
                  <c:v>42836</c:v>
                </c:pt>
                <c:pt idx="738">
                  <c:v>42837</c:v>
                </c:pt>
                <c:pt idx="739">
                  <c:v>42838</c:v>
                </c:pt>
                <c:pt idx="740">
                  <c:v>42839</c:v>
                </c:pt>
                <c:pt idx="741">
                  <c:v>42840</c:v>
                </c:pt>
                <c:pt idx="742">
                  <c:v>42841</c:v>
                </c:pt>
                <c:pt idx="743">
                  <c:v>42842</c:v>
                </c:pt>
                <c:pt idx="744">
                  <c:v>42843</c:v>
                </c:pt>
                <c:pt idx="745">
                  <c:v>42844</c:v>
                </c:pt>
                <c:pt idx="746">
                  <c:v>42845</c:v>
                </c:pt>
                <c:pt idx="747">
                  <c:v>42846</c:v>
                </c:pt>
                <c:pt idx="748">
                  <c:v>42847</c:v>
                </c:pt>
                <c:pt idx="749">
                  <c:v>42848</c:v>
                </c:pt>
                <c:pt idx="750">
                  <c:v>42849</c:v>
                </c:pt>
                <c:pt idx="751">
                  <c:v>42850</c:v>
                </c:pt>
                <c:pt idx="752">
                  <c:v>42851</c:v>
                </c:pt>
                <c:pt idx="753">
                  <c:v>42852</c:v>
                </c:pt>
                <c:pt idx="754">
                  <c:v>42853</c:v>
                </c:pt>
                <c:pt idx="755">
                  <c:v>42854</c:v>
                </c:pt>
                <c:pt idx="756">
                  <c:v>42855</c:v>
                </c:pt>
                <c:pt idx="757">
                  <c:v>42856</c:v>
                </c:pt>
                <c:pt idx="758">
                  <c:v>42857</c:v>
                </c:pt>
                <c:pt idx="759">
                  <c:v>42858</c:v>
                </c:pt>
                <c:pt idx="760">
                  <c:v>42859</c:v>
                </c:pt>
                <c:pt idx="761">
                  <c:v>42860</c:v>
                </c:pt>
                <c:pt idx="762">
                  <c:v>42861</c:v>
                </c:pt>
                <c:pt idx="763">
                  <c:v>42862</c:v>
                </c:pt>
                <c:pt idx="764">
                  <c:v>42863</c:v>
                </c:pt>
                <c:pt idx="765">
                  <c:v>42864</c:v>
                </c:pt>
                <c:pt idx="766">
                  <c:v>42865</c:v>
                </c:pt>
                <c:pt idx="767">
                  <c:v>42866</c:v>
                </c:pt>
                <c:pt idx="768">
                  <c:v>42867</c:v>
                </c:pt>
                <c:pt idx="769">
                  <c:v>42868</c:v>
                </c:pt>
                <c:pt idx="770">
                  <c:v>42869</c:v>
                </c:pt>
                <c:pt idx="771">
                  <c:v>42870</c:v>
                </c:pt>
                <c:pt idx="772">
                  <c:v>42871</c:v>
                </c:pt>
                <c:pt idx="773">
                  <c:v>42872</c:v>
                </c:pt>
                <c:pt idx="774">
                  <c:v>42873</c:v>
                </c:pt>
                <c:pt idx="775">
                  <c:v>42874</c:v>
                </c:pt>
                <c:pt idx="776">
                  <c:v>42875</c:v>
                </c:pt>
                <c:pt idx="777">
                  <c:v>42876</c:v>
                </c:pt>
                <c:pt idx="778">
                  <c:v>42877</c:v>
                </c:pt>
                <c:pt idx="779">
                  <c:v>42878</c:v>
                </c:pt>
                <c:pt idx="780">
                  <c:v>42879</c:v>
                </c:pt>
                <c:pt idx="781">
                  <c:v>42880</c:v>
                </c:pt>
                <c:pt idx="782">
                  <c:v>42881</c:v>
                </c:pt>
                <c:pt idx="783">
                  <c:v>42882</c:v>
                </c:pt>
                <c:pt idx="784">
                  <c:v>42883</c:v>
                </c:pt>
                <c:pt idx="785">
                  <c:v>42884</c:v>
                </c:pt>
                <c:pt idx="786">
                  <c:v>42885</c:v>
                </c:pt>
                <c:pt idx="787">
                  <c:v>42886</c:v>
                </c:pt>
                <c:pt idx="788">
                  <c:v>42887</c:v>
                </c:pt>
                <c:pt idx="789">
                  <c:v>42888</c:v>
                </c:pt>
                <c:pt idx="790">
                  <c:v>42889</c:v>
                </c:pt>
                <c:pt idx="791">
                  <c:v>42890</c:v>
                </c:pt>
                <c:pt idx="792">
                  <c:v>42891</c:v>
                </c:pt>
                <c:pt idx="793">
                  <c:v>42892</c:v>
                </c:pt>
                <c:pt idx="794">
                  <c:v>42893</c:v>
                </c:pt>
                <c:pt idx="795">
                  <c:v>42894</c:v>
                </c:pt>
                <c:pt idx="796">
                  <c:v>42895</c:v>
                </c:pt>
                <c:pt idx="797">
                  <c:v>42896</c:v>
                </c:pt>
                <c:pt idx="798">
                  <c:v>42897</c:v>
                </c:pt>
                <c:pt idx="799">
                  <c:v>42898</c:v>
                </c:pt>
                <c:pt idx="800">
                  <c:v>42899</c:v>
                </c:pt>
                <c:pt idx="801">
                  <c:v>42900</c:v>
                </c:pt>
                <c:pt idx="802">
                  <c:v>42901</c:v>
                </c:pt>
                <c:pt idx="803">
                  <c:v>42902</c:v>
                </c:pt>
                <c:pt idx="804">
                  <c:v>42903</c:v>
                </c:pt>
                <c:pt idx="805">
                  <c:v>42904</c:v>
                </c:pt>
                <c:pt idx="806">
                  <c:v>42905</c:v>
                </c:pt>
                <c:pt idx="807">
                  <c:v>42906</c:v>
                </c:pt>
                <c:pt idx="808">
                  <c:v>42907</c:v>
                </c:pt>
                <c:pt idx="809">
                  <c:v>42908</c:v>
                </c:pt>
                <c:pt idx="810">
                  <c:v>42909</c:v>
                </c:pt>
                <c:pt idx="811">
                  <c:v>42910</c:v>
                </c:pt>
                <c:pt idx="812">
                  <c:v>42911</c:v>
                </c:pt>
                <c:pt idx="813">
                  <c:v>42912</c:v>
                </c:pt>
                <c:pt idx="814">
                  <c:v>42913</c:v>
                </c:pt>
                <c:pt idx="815">
                  <c:v>42914</c:v>
                </c:pt>
                <c:pt idx="816">
                  <c:v>42915</c:v>
                </c:pt>
                <c:pt idx="817">
                  <c:v>42916</c:v>
                </c:pt>
                <c:pt idx="818">
                  <c:v>42917</c:v>
                </c:pt>
                <c:pt idx="819">
                  <c:v>42918</c:v>
                </c:pt>
                <c:pt idx="820">
                  <c:v>42919</c:v>
                </c:pt>
                <c:pt idx="821">
                  <c:v>42920</c:v>
                </c:pt>
                <c:pt idx="822">
                  <c:v>42921</c:v>
                </c:pt>
                <c:pt idx="823">
                  <c:v>42922</c:v>
                </c:pt>
                <c:pt idx="824">
                  <c:v>42923</c:v>
                </c:pt>
                <c:pt idx="825">
                  <c:v>42924</c:v>
                </c:pt>
                <c:pt idx="826">
                  <c:v>42925</c:v>
                </c:pt>
                <c:pt idx="827">
                  <c:v>42926</c:v>
                </c:pt>
                <c:pt idx="828">
                  <c:v>42927</c:v>
                </c:pt>
                <c:pt idx="829">
                  <c:v>42928</c:v>
                </c:pt>
                <c:pt idx="830">
                  <c:v>42929</c:v>
                </c:pt>
                <c:pt idx="831">
                  <c:v>42930</c:v>
                </c:pt>
                <c:pt idx="832">
                  <c:v>42931</c:v>
                </c:pt>
                <c:pt idx="833">
                  <c:v>42932</c:v>
                </c:pt>
                <c:pt idx="834">
                  <c:v>42933</c:v>
                </c:pt>
                <c:pt idx="835">
                  <c:v>42934</c:v>
                </c:pt>
                <c:pt idx="836">
                  <c:v>42935</c:v>
                </c:pt>
                <c:pt idx="837">
                  <c:v>42936</c:v>
                </c:pt>
                <c:pt idx="838">
                  <c:v>42937</c:v>
                </c:pt>
                <c:pt idx="839">
                  <c:v>42938</c:v>
                </c:pt>
                <c:pt idx="840">
                  <c:v>42939</c:v>
                </c:pt>
                <c:pt idx="841">
                  <c:v>42940</c:v>
                </c:pt>
                <c:pt idx="842">
                  <c:v>42941</c:v>
                </c:pt>
                <c:pt idx="843">
                  <c:v>42942</c:v>
                </c:pt>
                <c:pt idx="844">
                  <c:v>42943</c:v>
                </c:pt>
                <c:pt idx="845">
                  <c:v>42944</c:v>
                </c:pt>
                <c:pt idx="846">
                  <c:v>42945</c:v>
                </c:pt>
                <c:pt idx="847">
                  <c:v>42946</c:v>
                </c:pt>
                <c:pt idx="848">
                  <c:v>42947</c:v>
                </c:pt>
                <c:pt idx="849">
                  <c:v>42948</c:v>
                </c:pt>
                <c:pt idx="850">
                  <c:v>42949</c:v>
                </c:pt>
                <c:pt idx="851">
                  <c:v>42950</c:v>
                </c:pt>
                <c:pt idx="852">
                  <c:v>42951</c:v>
                </c:pt>
                <c:pt idx="853">
                  <c:v>42952</c:v>
                </c:pt>
                <c:pt idx="854">
                  <c:v>42953</c:v>
                </c:pt>
                <c:pt idx="855">
                  <c:v>42954</c:v>
                </c:pt>
                <c:pt idx="856">
                  <c:v>42955</c:v>
                </c:pt>
                <c:pt idx="857">
                  <c:v>42956</c:v>
                </c:pt>
                <c:pt idx="858">
                  <c:v>42957</c:v>
                </c:pt>
                <c:pt idx="859">
                  <c:v>42958</c:v>
                </c:pt>
                <c:pt idx="860">
                  <c:v>42959</c:v>
                </c:pt>
                <c:pt idx="861">
                  <c:v>42960</c:v>
                </c:pt>
                <c:pt idx="862">
                  <c:v>42961</c:v>
                </c:pt>
                <c:pt idx="863">
                  <c:v>42962</c:v>
                </c:pt>
                <c:pt idx="864">
                  <c:v>42963</c:v>
                </c:pt>
                <c:pt idx="865">
                  <c:v>42964</c:v>
                </c:pt>
                <c:pt idx="866">
                  <c:v>42965</c:v>
                </c:pt>
                <c:pt idx="867">
                  <c:v>42966</c:v>
                </c:pt>
                <c:pt idx="868">
                  <c:v>42967</c:v>
                </c:pt>
                <c:pt idx="869">
                  <c:v>42968</c:v>
                </c:pt>
                <c:pt idx="870">
                  <c:v>42969</c:v>
                </c:pt>
                <c:pt idx="871">
                  <c:v>42970</c:v>
                </c:pt>
                <c:pt idx="872">
                  <c:v>42971</c:v>
                </c:pt>
                <c:pt idx="873">
                  <c:v>42972</c:v>
                </c:pt>
                <c:pt idx="874">
                  <c:v>42973</c:v>
                </c:pt>
                <c:pt idx="875">
                  <c:v>42974</c:v>
                </c:pt>
                <c:pt idx="876">
                  <c:v>42975</c:v>
                </c:pt>
                <c:pt idx="877">
                  <c:v>42976</c:v>
                </c:pt>
                <c:pt idx="878">
                  <c:v>42977</c:v>
                </c:pt>
                <c:pt idx="879">
                  <c:v>42978</c:v>
                </c:pt>
                <c:pt idx="880">
                  <c:v>42979</c:v>
                </c:pt>
                <c:pt idx="881">
                  <c:v>42980</c:v>
                </c:pt>
                <c:pt idx="882">
                  <c:v>42981</c:v>
                </c:pt>
                <c:pt idx="883">
                  <c:v>42982</c:v>
                </c:pt>
                <c:pt idx="884">
                  <c:v>42983</c:v>
                </c:pt>
                <c:pt idx="885">
                  <c:v>42984</c:v>
                </c:pt>
                <c:pt idx="886">
                  <c:v>42985</c:v>
                </c:pt>
                <c:pt idx="887">
                  <c:v>42986</c:v>
                </c:pt>
                <c:pt idx="888">
                  <c:v>42987</c:v>
                </c:pt>
                <c:pt idx="889">
                  <c:v>42988</c:v>
                </c:pt>
                <c:pt idx="890">
                  <c:v>42989</c:v>
                </c:pt>
                <c:pt idx="891">
                  <c:v>42990</c:v>
                </c:pt>
                <c:pt idx="892">
                  <c:v>42991</c:v>
                </c:pt>
                <c:pt idx="893">
                  <c:v>42992</c:v>
                </c:pt>
                <c:pt idx="894">
                  <c:v>42993</c:v>
                </c:pt>
                <c:pt idx="895">
                  <c:v>42994</c:v>
                </c:pt>
                <c:pt idx="896">
                  <c:v>42995</c:v>
                </c:pt>
                <c:pt idx="897">
                  <c:v>42996</c:v>
                </c:pt>
                <c:pt idx="898">
                  <c:v>42997</c:v>
                </c:pt>
                <c:pt idx="899">
                  <c:v>42998</c:v>
                </c:pt>
                <c:pt idx="900">
                  <c:v>42999</c:v>
                </c:pt>
                <c:pt idx="901">
                  <c:v>43000</c:v>
                </c:pt>
                <c:pt idx="902">
                  <c:v>43001</c:v>
                </c:pt>
                <c:pt idx="903">
                  <c:v>43002</c:v>
                </c:pt>
                <c:pt idx="904">
                  <c:v>43003</c:v>
                </c:pt>
                <c:pt idx="905">
                  <c:v>43004</c:v>
                </c:pt>
                <c:pt idx="906">
                  <c:v>43005</c:v>
                </c:pt>
                <c:pt idx="907">
                  <c:v>43006</c:v>
                </c:pt>
                <c:pt idx="908">
                  <c:v>43007</c:v>
                </c:pt>
                <c:pt idx="909">
                  <c:v>43008</c:v>
                </c:pt>
                <c:pt idx="910">
                  <c:v>43009</c:v>
                </c:pt>
                <c:pt idx="911">
                  <c:v>43010</c:v>
                </c:pt>
                <c:pt idx="912">
                  <c:v>43011</c:v>
                </c:pt>
                <c:pt idx="913">
                  <c:v>43012</c:v>
                </c:pt>
                <c:pt idx="914">
                  <c:v>43013</c:v>
                </c:pt>
                <c:pt idx="915">
                  <c:v>43014</c:v>
                </c:pt>
                <c:pt idx="916">
                  <c:v>43015</c:v>
                </c:pt>
                <c:pt idx="917">
                  <c:v>43016</c:v>
                </c:pt>
                <c:pt idx="918">
                  <c:v>43017</c:v>
                </c:pt>
                <c:pt idx="919">
                  <c:v>43018</c:v>
                </c:pt>
                <c:pt idx="920">
                  <c:v>43019</c:v>
                </c:pt>
                <c:pt idx="921">
                  <c:v>43020</c:v>
                </c:pt>
                <c:pt idx="922">
                  <c:v>43021</c:v>
                </c:pt>
                <c:pt idx="923">
                  <c:v>43022</c:v>
                </c:pt>
                <c:pt idx="924">
                  <c:v>43023</c:v>
                </c:pt>
                <c:pt idx="925">
                  <c:v>43024</c:v>
                </c:pt>
                <c:pt idx="926">
                  <c:v>43025</c:v>
                </c:pt>
                <c:pt idx="927">
                  <c:v>43026</c:v>
                </c:pt>
                <c:pt idx="928">
                  <c:v>43027</c:v>
                </c:pt>
                <c:pt idx="929">
                  <c:v>43028</c:v>
                </c:pt>
                <c:pt idx="930">
                  <c:v>43029</c:v>
                </c:pt>
                <c:pt idx="931">
                  <c:v>43030</c:v>
                </c:pt>
                <c:pt idx="932">
                  <c:v>43031</c:v>
                </c:pt>
                <c:pt idx="933">
                  <c:v>43032</c:v>
                </c:pt>
                <c:pt idx="934">
                  <c:v>43033</c:v>
                </c:pt>
                <c:pt idx="935">
                  <c:v>43034</c:v>
                </c:pt>
                <c:pt idx="936">
                  <c:v>43035</c:v>
                </c:pt>
                <c:pt idx="937">
                  <c:v>43036</c:v>
                </c:pt>
                <c:pt idx="938">
                  <c:v>43037</c:v>
                </c:pt>
                <c:pt idx="939">
                  <c:v>43038</c:v>
                </c:pt>
                <c:pt idx="940">
                  <c:v>43039</c:v>
                </c:pt>
                <c:pt idx="941">
                  <c:v>43040</c:v>
                </c:pt>
                <c:pt idx="942">
                  <c:v>43041</c:v>
                </c:pt>
                <c:pt idx="943">
                  <c:v>43042</c:v>
                </c:pt>
                <c:pt idx="944">
                  <c:v>43043</c:v>
                </c:pt>
                <c:pt idx="945">
                  <c:v>43044</c:v>
                </c:pt>
                <c:pt idx="946">
                  <c:v>43045</c:v>
                </c:pt>
                <c:pt idx="947">
                  <c:v>43046</c:v>
                </c:pt>
                <c:pt idx="948">
                  <c:v>43047</c:v>
                </c:pt>
                <c:pt idx="949">
                  <c:v>43048</c:v>
                </c:pt>
                <c:pt idx="950">
                  <c:v>43049</c:v>
                </c:pt>
                <c:pt idx="951">
                  <c:v>43050</c:v>
                </c:pt>
                <c:pt idx="952">
                  <c:v>43051</c:v>
                </c:pt>
                <c:pt idx="953">
                  <c:v>43052</c:v>
                </c:pt>
                <c:pt idx="954">
                  <c:v>43053</c:v>
                </c:pt>
                <c:pt idx="955">
                  <c:v>43054</c:v>
                </c:pt>
                <c:pt idx="956">
                  <c:v>43055</c:v>
                </c:pt>
                <c:pt idx="957">
                  <c:v>43056</c:v>
                </c:pt>
                <c:pt idx="958">
                  <c:v>43057</c:v>
                </c:pt>
                <c:pt idx="959">
                  <c:v>43058</c:v>
                </c:pt>
                <c:pt idx="960">
                  <c:v>43059</c:v>
                </c:pt>
                <c:pt idx="961">
                  <c:v>43060</c:v>
                </c:pt>
                <c:pt idx="962">
                  <c:v>43061</c:v>
                </c:pt>
                <c:pt idx="963">
                  <c:v>43062</c:v>
                </c:pt>
                <c:pt idx="964">
                  <c:v>43063</c:v>
                </c:pt>
                <c:pt idx="965">
                  <c:v>43064</c:v>
                </c:pt>
                <c:pt idx="966">
                  <c:v>43065</c:v>
                </c:pt>
                <c:pt idx="967">
                  <c:v>43066</c:v>
                </c:pt>
                <c:pt idx="968">
                  <c:v>43067</c:v>
                </c:pt>
                <c:pt idx="969">
                  <c:v>43068</c:v>
                </c:pt>
                <c:pt idx="970">
                  <c:v>43069</c:v>
                </c:pt>
                <c:pt idx="971">
                  <c:v>43070</c:v>
                </c:pt>
                <c:pt idx="972">
                  <c:v>43071</c:v>
                </c:pt>
                <c:pt idx="973">
                  <c:v>43072</c:v>
                </c:pt>
                <c:pt idx="974">
                  <c:v>43073</c:v>
                </c:pt>
                <c:pt idx="975">
                  <c:v>43074</c:v>
                </c:pt>
                <c:pt idx="976">
                  <c:v>43075</c:v>
                </c:pt>
                <c:pt idx="977">
                  <c:v>43076</c:v>
                </c:pt>
                <c:pt idx="978">
                  <c:v>43077</c:v>
                </c:pt>
                <c:pt idx="979">
                  <c:v>43078</c:v>
                </c:pt>
                <c:pt idx="980">
                  <c:v>43079</c:v>
                </c:pt>
                <c:pt idx="981">
                  <c:v>43080</c:v>
                </c:pt>
                <c:pt idx="982">
                  <c:v>43081</c:v>
                </c:pt>
                <c:pt idx="983">
                  <c:v>43082</c:v>
                </c:pt>
                <c:pt idx="984">
                  <c:v>43083</c:v>
                </c:pt>
                <c:pt idx="985">
                  <c:v>43084</c:v>
                </c:pt>
                <c:pt idx="986">
                  <c:v>43085</c:v>
                </c:pt>
                <c:pt idx="987">
                  <c:v>43086</c:v>
                </c:pt>
                <c:pt idx="988">
                  <c:v>43087</c:v>
                </c:pt>
                <c:pt idx="989">
                  <c:v>43088</c:v>
                </c:pt>
                <c:pt idx="990">
                  <c:v>43089</c:v>
                </c:pt>
                <c:pt idx="991">
                  <c:v>43090</c:v>
                </c:pt>
                <c:pt idx="992">
                  <c:v>43091</c:v>
                </c:pt>
                <c:pt idx="993">
                  <c:v>43092</c:v>
                </c:pt>
                <c:pt idx="994">
                  <c:v>43093</c:v>
                </c:pt>
                <c:pt idx="995">
                  <c:v>43094</c:v>
                </c:pt>
                <c:pt idx="996">
                  <c:v>43095</c:v>
                </c:pt>
                <c:pt idx="997">
                  <c:v>43096</c:v>
                </c:pt>
                <c:pt idx="998">
                  <c:v>43097</c:v>
                </c:pt>
                <c:pt idx="999">
                  <c:v>43098</c:v>
                </c:pt>
                <c:pt idx="1000">
                  <c:v>43099</c:v>
                </c:pt>
                <c:pt idx="1001">
                  <c:v>43100</c:v>
                </c:pt>
                <c:pt idx="1002">
                  <c:v>43101</c:v>
                </c:pt>
                <c:pt idx="1003">
                  <c:v>43102</c:v>
                </c:pt>
                <c:pt idx="1004">
                  <c:v>43103</c:v>
                </c:pt>
                <c:pt idx="1005">
                  <c:v>43104</c:v>
                </c:pt>
                <c:pt idx="1006">
                  <c:v>43105</c:v>
                </c:pt>
                <c:pt idx="1007">
                  <c:v>43106</c:v>
                </c:pt>
                <c:pt idx="1008">
                  <c:v>43107</c:v>
                </c:pt>
                <c:pt idx="1009">
                  <c:v>43108</c:v>
                </c:pt>
                <c:pt idx="1010">
                  <c:v>43109</c:v>
                </c:pt>
                <c:pt idx="1011">
                  <c:v>43110</c:v>
                </c:pt>
                <c:pt idx="1012">
                  <c:v>43111</c:v>
                </c:pt>
                <c:pt idx="1013">
                  <c:v>43112</c:v>
                </c:pt>
                <c:pt idx="1014">
                  <c:v>43113</c:v>
                </c:pt>
                <c:pt idx="1015">
                  <c:v>43114</c:v>
                </c:pt>
                <c:pt idx="1016">
                  <c:v>43115</c:v>
                </c:pt>
                <c:pt idx="1017">
                  <c:v>43116</c:v>
                </c:pt>
                <c:pt idx="1018">
                  <c:v>43117</c:v>
                </c:pt>
                <c:pt idx="1019">
                  <c:v>43118</c:v>
                </c:pt>
                <c:pt idx="1020">
                  <c:v>43119</c:v>
                </c:pt>
                <c:pt idx="1021">
                  <c:v>43120</c:v>
                </c:pt>
                <c:pt idx="1022">
                  <c:v>43121</c:v>
                </c:pt>
                <c:pt idx="1023">
                  <c:v>43122</c:v>
                </c:pt>
                <c:pt idx="1024">
                  <c:v>43123</c:v>
                </c:pt>
                <c:pt idx="1025">
                  <c:v>43124</c:v>
                </c:pt>
                <c:pt idx="1026">
                  <c:v>43125</c:v>
                </c:pt>
                <c:pt idx="1027">
                  <c:v>43126</c:v>
                </c:pt>
                <c:pt idx="1028">
                  <c:v>43127</c:v>
                </c:pt>
                <c:pt idx="1029">
                  <c:v>43128</c:v>
                </c:pt>
                <c:pt idx="1030">
                  <c:v>43129</c:v>
                </c:pt>
                <c:pt idx="1031">
                  <c:v>43130</c:v>
                </c:pt>
                <c:pt idx="1032">
                  <c:v>43131</c:v>
                </c:pt>
                <c:pt idx="1033">
                  <c:v>43132</c:v>
                </c:pt>
                <c:pt idx="1034">
                  <c:v>43133</c:v>
                </c:pt>
                <c:pt idx="1035">
                  <c:v>43134</c:v>
                </c:pt>
                <c:pt idx="1036">
                  <c:v>43135</c:v>
                </c:pt>
                <c:pt idx="1037">
                  <c:v>43136</c:v>
                </c:pt>
                <c:pt idx="1038">
                  <c:v>43137</c:v>
                </c:pt>
                <c:pt idx="1039">
                  <c:v>43138</c:v>
                </c:pt>
                <c:pt idx="1040">
                  <c:v>43139</c:v>
                </c:pt>
                <c:pt idx="1041">
                  <c:v>43140</c:v>
                </c:pt>
                <c:pt idx="1042">
                  <c:v>43141</c:v>
                </c:pt>
                <c:pt idx="1043">
                  <c:v>43142</c:v>
                </c:pt>
                <c:pt idx="1044">
                  <c:v>43143</c:v>
                </c:pt>
                <c:pt idx="1045">
                  <c:v>43144</c:v>
                </c:pt>
                <c:pt idx="1046">
                  <c:v>43145</c:v>
                </c:pt>
                <c:pt idx="1047">
                  <c:v>43146</c:v>
                </c:pt>
                <c:pt idx="1048">
                  <c:v>43147</c:v>
                </c:pt>
                <c:pt idx="1049">
                  <c:v>43148</c:v>
                </c:pt>
                <c:pt idx="1050">
                  <c:v>43149</c:v>
                </c:pt>
                <c:pt idx="1051">
                  <c:v>43150</c:v>
                </c:pt>
                <c:pt idx="1052">
                  <c:v>43151</c:v>
                </c:pt>
                <c:pt idx="1053">
                  <c:v>43152</c:v>
                </c:pt>
                <c:pt idx="1054">
                  <c:v>43153</c:v>
                </c:pt>
                <c:pt idx="1055">
                  <c:v>43154</c:v>
                </c:pt>
                <c:pt idx="1056">
                  <c:v>43155</c:v>
                </c:pt>
                <c:pt idx="1057">
                  <c:v>43156</c:v>
                </c:pt>
                <c:pt idx="1058">
                  <c:v>43157</c:v>
                </c:pt>
                <c:pt idx="1059">
                  <c:v>43158</c:v>
                </c:pt>
                <c:pt idx="1060">
                  <c:v>43159</c:v>
                </c:pt>
                <c:pt idx="1061">
                  <c:v>43160</c:v>
                </c:pt>
                <c:pt idx="1062">
                  <c:v>43161</c:v>
                </c:pt>
                <c:pt idx="1063">
                  <c:v>43162</c:v>
                </c:pt>
                <c:pt idx="1064">
                  <c:v>43163</c:v>
                </c:pt>
                <c:pt idx="1065">
                  <c:v>43164</c:v>
                </c:pt>
                <c:pt idx="1066">
                  <c:v>43165</c:v>
                </c:pt>
                <c:pt idx="1067">
                  <c:v>43166</c:v>
                </c:pt>
                <c:pt idx="1068">
                  <c:v>43167</c:v>
                </c:pt>
                <c:pt idx="1069">
                  <c:v>43168</c:v>
                </c:pt>
                <c:pt idx="1070">
                  <c:v>43169</c:v>
                </c:pt>
                <c:pt idx="1071">
                  <c:v>43170</c:v>
                </c:pt>
                <c:pt idx="1072">
                  <c:v>43171</c:v>
                </c:pt>
                <c:pt idx="1073">
                  <c:v>43172</c:v>
                </c:pt>
                <c:pt idx="1074">
                  <c:v>43173</c:v>
                </c:pt>
                <c:pt idx="1075">
                  <c:v>43174</c:v>
                </c:pt>
                <c:pt idx="1076">
                  <c:v>43175</c:v>
                </c:pt>
                <c:pt idx="1077">
                  <c:v>43176</c:v>
                </c:pt>
                <c:pt idx="1078">
                  <c:v>43177</c:v>
                </c:pt>
                <c:pt idx="1079">
                  <c:v>43178</c:v>
                </c:pt>
                <c:pt idx="1080">
                  <c:v>43179</c:v>
                </c:pt>
                <c:pt idx="1081">
                  <c:v>43180</c:v>
                </c:pt>
                <c:pt idx="1082">
                  <c:v>43181</c:v>
                </c:pt>
                <c:pt idx="1083">
                  <c:v>43182</c:v>
                </c:pt>
                <c:pt idx="1084">
                  <c:v>43183</c:v>
                </c:pt>
                <c:pt idx="1085">
                  <c:v>43184</c:v>
                </c:pt>
                <c:pt idx="1086">
                  <c:v>43185</c:v>
                </c:pt>
                <c:pt idx="1087">
                  <c:v>43186</c:v>
                </c:pt>
                <c:pt idx="1088">
                  <c:v>43187</c:v>
                </c:pt>
                <c:pt idx="1089">
                  <c:v>43188</c:v>
                </c:pt>
                <c:pt idx="1090">
                  <c:v>43189</c:v>
                </c:pt>
                <c:pt idx="1091">
                  <c:v>43190</c:v>
                </c:pt>
                <c:pt idx="1092">
                  <c:v>43191</c:v>
                </c:pt>
                <c:pt idx="1093">
                  <c:v>43192</c:v>
                </c:pt>
                <c:pt idx="1094">
                  <c:v>43193</c:v>
                </c:pt>
                <c:pt idx="1095">
                  <c:v>43194</c:v>
                </c:pt>
                <c:pt idx="1096">
                  <c:v>43195</c:v>
                </c:pt>
                <c:pt idx="1097">
                  <c:v>43196</c:v>
                </c:pt>
                <c:pt idx="1098">
                  <c:v>43197</c:v>
                </c:pt>
                <c:pt idx="1099">
                  <c:v>43198</c:v>
                </c:pt>
                <c:pt idx="1100">
                  <c:v>43199</c:v>
                </c:pt>
                <c:pt idx="1101">
                  <c:v>43200</c:v>
                </c:pt>
                <c:pt idx="1102">
                  <c:v>43201</c:v>
                </c:pt>
                <c:pt idx="1103">
                  <c:v>43202</c:v>
                </c:pt>
                <c:pt idx="1104">
                  <c:v>43203</c:v>
                </c:pt>
                <c:pt idx="1105">
                  <c:v>43204</c:v>
                </c:pt>
                <c:pt idx="1106">
                  <c:v>43205</c:v>
                </c:pt>
                <c:pt idx="1107">
                  <c:v>43206</c:v>
                </c:pt>
                <c:pt idx="1108">
                  <c:v>43207</c:v>
                </c:pt>
                <c:pt idx="1109">
                  <c:v>43208</c:v>
                </c:pt>
                <c:pt idx="1110">
                  <c:v>43209</c:v>
                </c:pt>
                <c:pt idx="1111">
                  <c:v>43210</c:v>
                </c:pt>
                <c:pt idx="1112">
                  <c:v>43211</c:v>
                </c:pt>
                <c:pt idx="1113">
                  <c:v>43212</c:v>
                </c:pt>
                <c:pt idx="1114">
                  <c:v>43213</c:v>
                </c:pt>
                <c:pt idx="1115">
                  <c:v>43214</c:v>
                </c:pt>
                <c:pt idx="1116">
                  <c:v>43215</c:v>
                </c:pt>
                <c:pt idx="1117">
                  <c:v>43216</c:v>
                </c:pt>
                <c:pt idx="1118">
                  <c:v>43217</c:v>
                </c:pt>
                <c:pt idx="1119">
                  <c:v>43218</c:v>
                </c:pt>
                <c:pt idx="1120">
                  <c:v>43219</c:v>
                </c:pt>
                <c:pt idx="1121">
                  <c:v>43220</c:v>
                </c:pt>
                <c:pt idx="1122">
                  <c:v>43221</c:v>
                </c:pt>
                <c:pt idx="1123">
                  <c:v>43222</c:v>
                </c:pt>
                <c:pt idx="1124">
                  <c:v>43223</c:v>
                </c:pt>
                <c:pt idx="1125">
                  <c:v>43224</c:v>
                </c:pt>
                <c:pt idx="1126">
                  <c:v>43225</c:v>
                </c:pt>
                <c:pt idx="1127">
                  <c:v>43226</c:v>
                </c:pt>
                <c:pt idx="1128">
                  <c:v>43227</c:v>
                </c:pt>
                <c:pt idx="1129">
                  <c:v>43228</c:v>
                </c:pt>
                <c:pt idx="1130">
                  <c:v>43229</c:v>
                </c:pt>
                <c:pt idx="1131">
                  <c:v>43230</c:v>
                </c:pt>
                <c:pt idx="1132">
                  <c:v>43231</c:v>
                </c:pt>
                <c:pt idx="1133">
                  <c:v>43232</c:v>
                </c:pt>
                <c:pt idx="1134">
                  <c:v>43233</c:v>
                </c:pt>
                <c:pt idx="1135">
                  <c:v>43234</c:v>
                </c:pt>
                <c:pt idx="1136">
                  <c:v>43235</c:v>
                </c:pt>
                <c:pt idx="1137">
                  <c:v>43236</c:v>
                </c:pt>
                <c:pt idx="1138">
                  <c:v>43237</c:v>
                </c:pt>
                <c:pt idx="1139">
                  <c:v>43238</c:v>
                </c:pt>
                <c:pt idx="1140">
                  <c:v>43239</c:v>
                </c:pt>
                <c:pt idx="1141">
                  <c:v>43240</c:v>
                </c:pt>
                <c:pt idx="1142">
                  <c:v>43241</c:v>
                </c:pt>
                <c:pt idx="1143">
                  <c:v>43242</c:v>
                </c:pt>
                <c:pt idx="1144">
                  <c:v>43243</c:v>
                </c:pt>
                <c:pt idx="1145">
                  <c:v>43244</c:v>
                </c:pt>
                <c:pt idx="1146">
                  <c:v>43245</c:v>
                </c:pt>
                <c:pt idx="1147">
                  <c:v>43246</c:v>
                </c:pt>
                <c:pt idx="1148">
                  <c:v>43247</c:v>
                </c:pt>
                <c:pt idx="1149">
                  <c:v>43248</c:v>
                </c:pt>
                <c:pt idx="1150">
                  <c:v>43249</c:v>
                </c:pt>
                <c:pt idx="1151">
                  <c:v>43250</c:v>
                </c:pt>
                <c:pt idx="1152">
                  <c:v>43251</c:v>
                </c:pt>
                <c:pt idx="1153">
                  <c:v>43252</c:v>
                </c:pt>
                <c:pt idx="1154">
                  <c:v>43253</c:v>
                </c:pt>
                <c:pt idx="1155">
                  <c:v>43254</c:v>
                </c:pt>
                <c:pt idx="1156">
                  <c:v>43255</c:v>
                </c:pt>
                <c:pt idx="1157">
                  <c:v>43256</c:v>
                </c:pt>
                <c:pt idx="1158">
                  <c:v>43257</c:v>
                </c:pt>
                <c:pt idx="1159">
                  <c:v>43258</c:v>
                </c:pt>
                <c:pt idx="1160">
                  <c:v>43259</c:v>
                </c:pt>
                <c:pt idx="1161">
                  <c:v>43260</c:v>
                </c:pt>
                <c:pt idx="1162">
                  <c:v>43261</c:v>
                </c:pt>
                <c:pt idx="1163">
                  <c:v>43262</c:v>
                </c:pt>
                <c:pt idx="1164">
                  <c:v>43263</c:v>
                </c:pt>
                <c:pt idx="1165">
                  <c:v>43264</c:v>
                </c:pt>
                <c:pt idx="1166">
                  <c:v>43265</c:v>
                </c:pt>
                <c:pt idx="1167">
                  <c:v>43266</c:v>
                </c:pt>
                <c:pt idx="1168">
                  <c:v>43267</c:v>
                </c:pt>
                <c:pt idx="1169">
                  <c:v>43268</c:v>
                </c:pt>
                <c:pt idx="1170">
                  <c:v>43269</c:v>
                </c:pt>
                <c:pt idx="1171">
                  <c:v>43270</c:v>
                </c:pt>
                <c:pt idx="1172">
                  <c:v>43271</c:v>
                </c:pt>
                <c:pt idx="1173">
                  <c:v>43272</c:v>
                </c:pt>
                <c:pt idx="1174">
                  <c:v>43273</c:v>
                </c:pt>
                <c:pt idx="1175">
                  <c:v>43274</c:v>
                </c:pt>
                <c:pt idx="1176">
                  <c:v>43275</c:v>
                </c:pt>
                <c:pt idx="1177">
                  <c:v>43276</c:v>
                </c:pt>
                <c:pt idx="1178">
                  <c:v>43277</c:v>
                </c:pt>
                <c:pt idx="1179">
                  <c:v>43278</c:v>
                </c:pt>
                <c:pt idx="1180">
                  <c:v>43279</c:v>
                </c:pt>
                <c:pt idx="1181">
                  <c:v>43280</c:v>
                </c:pt>
                <c:pt idx="1182">
                  <c:v>43281</c:v>
                </c:pt>
                <c:pt idx="1183">
                  <c:v>43282</c:v>
                </c:pt>
                <c:pt idx="1184">
                  <c:v>43283</c:v>
                </c:pt>
                <c:pt idx="1185">
                  <c:v>43284</c:v>
                </c:pt>
                <c:pt idx="1186">
                  <c:v>43285</c:v>
                </c:pt>
                <c:pt idx="1187">
                  <c:v>43286</c:v>
                </c:pt>
                <c:pt idx="1188">
                  <c:v>43287</c:v>
                </c:pt>
                <c:pt idx="1189">
                  <c:v>43288</c:v>
                </c:pt>
                <c:pt idx="1190">
                  <c:v>43289</c:v>
                </c:pt>
                <c:pt idx="1191">
                  <c:v>43290</c:v>
                </c:pt>
                <c:pt idx="1192">
                  <c:v>43291</c:v>
                </c:pt>
                <c:pt idx="1193">
                  <c:v>43292</c:v>
                </c:pt>
                <c:pt idx="1194">
                  <c:v>43293</c:v>
                </c:pt>
                <c:pt idx="1195">
                  <c:v>43294</c:v>
                </c:pt>
                <c:pt idx="1196">
                  <c:v>43295</c:v>
                </c:pt>
                <c:pt idx="1197">
                  <c:v>43296</c:v>
                </c:pt>
                <c:pt idx="1198">
                  <c:v>43297</c:v>
                </c:pt>
                <c:pt idx="1199">
                  <c:v>43298</c:v>
                </c:pt>
                <c:pt idx="1200">
                  <c:v>43299</c:v>
                </c:pt>
                <c:pt idx="1201">
                  <c:v>43300</c:v>
                </c:pt>
                <c:pt idx="1202">
                  <c:v>43301</c:v>
                </c:pt>
                <c:pt idx="1203">
                  <c:v>43302</c:v>
                </c:pt>
                <c:pt idx="1204">
                  <c:v>43303</c:v>
                </c:pt>
                <c:pt idx="1205">
                  <c:v>43304</c:v>
                </c:pt>
                <c:pt idx="1206">
                  <c:v>43305</c:v>
                </c:pt>
                <c:pt idx="1207">
                  <c:v>43306</c:v>
                </c:pt>
                <c:pt idx="1208">
                  <c:v>43307</c:v>
                </c:pt>
                <c:pt idx="1209">
                  <c:v>43308</c:v>
                </c:pt>
                <c:pt idx="1210">
                  <c:v>43309</c:v>
                </c:pt>
                <c:pt idx="1211">
                  <c:v>43310</c:v>
                </c:pt>
                <c:pt idx="1212">
                  <c:v>43311</c:v>
                </c:pt>
                <c:pt idx="1213">
                  <c:v>43312</c:v>
                </c:pt>
                <c:pt idx="1214">
                  <c:v>43313</c:v>
                </c:pt>
                <c:pt idx="1215">
                  <c:v>43314</c:v>
                </c:pt>
                <c:pt idx="1216">
                  <c:v>43315</c:v>
                </c:pt>
                <c:pt idx="1217">
                  <c:v>43316</c:v>
                </c:pt>
                <c:pt idx="1218">
                  <c:v>43317</c:v>
                </c:pt>
                <c:pt idx="1219">
                  <c:v>43318</c:v>
                </c:pt>
                <c:pt idx="1220">
                  <c:v>43319</c:v>
                </c:pt>
                <c:pt idx="1221">
                  <c:v>43320</c:v>
                </c:pt>
                <c:pt idx="1222">
                  <c:v>43321</c:v>
                </c:pt>
                <c:pt idx="1223">
                  <c:v>43322</c:v>
                </c:pt>
                <c:pt idx="1224">
                  <c:v>43323</c:v>
                </c:pt>
                <c:pt idx="1225">
                  <c:v>43324</c:v>
                </c:pt>
                <c:pt idx="1226">
                  <c:v>43325</c:v>
                </c:pt>
                <c:pt idx="1227">
                  <c:v>43326</c:v>
                </c:pt>
                <c:pt idx="1228">
                  <c:v>43327</c:v>
                </c:pt>
                <c:pt idx="1229">
                  <c:v>43328</c:v>
                </c:pt>
                <c:pt idx="1230">
                  <c:v>43329</c:v>
                </c:pt>
                <c:pt idx="1231">
                  <c:v>43330</c:v>
                </c:pt>
                <c:pt idx="1232">
                  <c:v>43331</c:v>
                </c:pt>
                <c:pt idx="1233">
                  <c:v>43332</c:v>
                </c:pt>
                <c:pt idx="1234">
                  <c:v>43333</c:v>
                </c:pt>
                <c:pt idx="1235">
                  <c:v>43334</c:v>
                </c:pt>
                <c:pt idx="1236">
                  <c:v>43335</c:v>
                </c:pt>
                <c:pt idx="1237">
                  <c:v>43336</c:v>
                </c:pt>
                <c:pt idx="1238">
                  <c:v>43337</c:v>
                </c:pt>
                <c:pt idx="1239">
                  <c:v>43338</c:v>
                </c:pt>
                <c:pt idx="1240">
                  <c:v>43339</c:v>
                </c:pt>
                <c:pt idx="1241">
                  <c:v>43340</c:v>
                </c:pt>
                <c:pt idx="1242">
                  <c:v>43341</c:v>
                </c:pt>
                <c:pt idx="1243">
                  <c:v>43342</c:v>
                </c:pt>
                <c:pt idx="1244">
                  <c:v>43343</c:v>
                </c:pt>
                <c:pt idx="1245">
                  <c:v>43344</c:v>
                </c:pt>
                <c:pt idx="1246">
                  <c:v>43345</c:v>
                </c:pt>
                <c:pt idx="1247">
                  <c:v>43346</c:v>
                </c:pt>
                <c:pt idx="1248">
                  <c:v>43347</c:v>
                </c:pt>
                <c:pt idx="1249">
                  <c:v>43348</c:v>
                </c:pt>
                <c:pt idx="1250">
                  <c:v>43349</c:v>
                </c:pt>
                <c:pt idx="1251">
                  <c:v>43350</c:v>
                </c:pt>
                <c:pt idx="1252">
                  <c:v>43351</c:v>
                </c:pt>
                <c:pt idx="1253">
                  <c:v>43352</c:v>
                </c:pt>
                <c:pt idx="1254">
                  <c:v>43353</c:v>
                </c:pt>
                <c:pt idx="1255">
                  <c:v>43354</c:v>
                </c:pt>
                <c:pt idx="1256">
                  <c:v>43355</c:v>
                </c:pt>
                <c:pt idx="1257">
                  <c:v>43356</c:v>
                </c:pt>
                <c:pt idx="1258">
                  <c:v>43357</c:v>
                </c:pt>
                <c:pt idx="1259">
                  <c:v>43358</c:v>
                </c:pt>
                <c:pt idx="1260">
                  <c:v>43359</c:v>
                </c:pt>
                <c:pt idx="1261">
                  <c:v>43360</c:v>
                </c:pt>
                <c:pt idx="1262">
                  <c:v>43361</c:v>
                </c:pt>
                <c:pt idx="1263">
                  <c:v>43362</c:v>
                </c:pt>
                <c:pt idx="1264">
                  <c:v>43363</c:v>
                </c:pt>
                <c:pt idx="1265">
                  <c:v>43364</c:v>
                </c:pt>
                <c:pt idx="1266">
                  <c:v>43365</c:v>
                </c:pt>
                <c:pt idx="1267">
                  <c:v>43366</c:v>
                </c:pt>
                <c:pt idx="1268">
                  <c:v>43367</c:v>
                </c:pt>
                <c:pt idx="1269">
                  <c:v>43368</c:v>
                </c:pt>
                <c:pt idx="1270">
                  <c:v>43369</c:v>
                </c:pt>
                <c:pt idx="1271">
                  <c:v>43370</c:v>
                </c:pt>
                <c:pt idx="1272">
                  <c:v>43371</c:v>
                </c:pt>
                <c:pt idx="1273">
                  <c:v>43372</c:v>
                </c:pt>
                <c:pt idx="1274">
                  <c:v>43373</c:v>
                </c:pt>
                <c:pt idx="1275">
                  <c:v>43374</c:v>
                </c:pt>
                <c:pt idx="1276">
                  <c:v>43375</c:v>
                </c:pt>
                <c:pt idx="1277">
                  <c:v>43376</c:v>
                </c:pt>
                <c:pt idx="1278">
                  <c:v>43377</c:v>
                </c:pt>
                <c:pt idx="1279">
                  <c:v>43378</c:v>
                </c:pt>
                <c:pt idx="1280">
                  <c:v>43379</c:v>
                </c:pt>
                <c:pt idx="1281">
                  <c:v>43380</c:v>
                </c:pt>
                <c:pt idx="1282">
                  <c:v>43381</c:v>
                </c:pt>
                <c:pt idx="1283">
                  <c:v>43382</c:v>
                </c:pt>
                <c:pt idx="1284">
                  <c:v>43383</c:v>
                </c:pt>
                <c:pt idx="1285">
                  <c:v>43384</c:v>
                </c:pt>
                <c:pt idx="1286">
                  <c:v>43385</c:v>
                </c:pt>
                <c:pt idx="1287">
                  <c:v>43386</c:v>
                </c:pt>
                <c:pt idx="1288">
                  <c:v>43387</c:v>
                </c:pt>
                <c:pt idx="1289">
                  <c:v>43388</c:v>
                </c:pt>
                <c:pt idx="1290">
                  <c:v>43389</c:v>
                </c:pt>
                <c:pt idx="1291">
                  <c:v>43390</c:v>
                </c:pt>
                <c:pt idx="1292">
                  <c:v>43391</c:v>
                </c:pt>
                <c:pt idx="1293">
                  <c:v>43392</c:v>
                </c:pt>
                <c:pt idx="1294">
                  <c:v>43393</c:v>
                </c:pt>
                <c:pt idx="1295">
                  <c:v>43394</c:v>
                </c:pt>
                <c:pt idx="1296">
                  <c:v>43395</c:v>
                </c:pt>
                <c:pt idx="1297">
                  <c:v>43396</c:v>
                </c:pt>
                <c:pt idx="1298">
                  <c:v>43397</c:v>
                </c:pt>
                <c:pt idx="1299">
                  <c:v>43398</c:v>
                </c:pt>
                <c:pt idx="1300">
                  <c:v>43399</c:v>
                </c:pt>
                <c:pt idx="1301">
                  <c:v>43400</c:v>
                </c:pt>
                <c:pt idx="1302">
                  <c:v>43401</c:v>
                </c:pt>
                <c:pt idx="1303">
                  <c:v>43402</c:v>
                </c:pt>
                <c:pt idx="1304">
                  <c:v>43403</c:v>
                </c:pt>
                <c:pt idx="1305">
                  <c:v>43404</c:v>
                </c:pt>
                <c:pt idx="1306">
                  <c:v>43405</c:v>
                </c:pt>
                <c:pt idx="1307">
                  <c:v>43406</c:v>
                </c:pt>
                <c:pt idx="1308">
                  <c:v>43407</c:v>
                </c:pt>
                <c:pt idx="1309">
                  <c:v>43408</c:v>
                </c:pt>
                <c:pt idx="1310">
                  <c:v>43409</c:v>
                </c:pt>
                <c:pt idx="1311">
                  <c:v>43410</c:v>
                </c:pt>
                <c:pt idx="1312">
                  <c:v>43411</c:v>
                </c:pt>
                <c:pt idx="1313">
                  <c:v>43412</c:v>
                </c:pt>
                <c:pt idx="1314">
                  <c:v>43413</c:v>
                </c:pt>
                <c:pt idx="1315">
                  <c:v>43414</c:v>
                </c:pt>
                <c:pt idx="1316">
                  <c:v>43415</c:v>
                </c:pt>
                <c:pt idx="1317">
                  <c:v>43416</c:v>
                </c:pt>
                <c:pt idx="1318">
                  <c:v>43417</c:v>
                </c:pt>
                <c:pt idx="1319">
                  <c:v>43418</c:v>
                </c:pt>
                <c:pt idx="1320">
                  <c:v>43419</c:v>
                </c:pt>
                <c:pt idx="1321">
                  <c:v>43420</c:v>
                </c:pt>
                <c:pt idx="1322">
                  <c:v>43421</c:v>
                </c:pt>
                <c:pt idx="1323">
                  <c:v>43422</c:v>
                </c:pt>
                <c:pt idx="1324">
                  <c:v>43423</c:v>
                </c:pt>
                <c:pt idx="1325">
                  <c:v>43424</c:v>
                </c:pt>
                <c:pt idx="1326">
                  <c:v>43425</c:v>
                </c:pt>
                <c:pt idx="1327">
                  <c:v>43426</c:v>
                </c:pt>
                <c:pt idx="1328">
                  <c:v>43427</c:v>
                </c:pt>
                <c:pt idx="1329">
                  <c:v>43428</c:v>
                </c:pt>
                <c:pt idx="1330">
                  <c:v>43429</c:v>
                </c:pt>
                <c:pt idx="1331">
                  <c:v>43430</c:v>
                </c:pt>
                <c:pt idx="1332">
                  <c:v>43431</c:v>
                </c:pt>
                <c:pt idx="1333">
                  <c:v>43432</c:v>
                </c:pt>
                <c:pt idx="1334">
                  <c:v>43433</c:v>
                </c:pt>
                <c:pt idx="1335">
                  <c:v>43434</c:v>
                </c:pt>
                <c:pt idx="1336">
                  <c:v>43435</c:v>
                </c:pt>
                <c:pt idx="1337">
                  <c:v>43436</c:v>
                </c:pt>
                <c:pt idx="1338">
                  <c:v>43437</c:v>
                </c:pt>
                <c:pt idx="1339">
                  <c:v>43438</c:v>
                </c:pt>
                <c:pt idx="1340">
                  <c:v>43439</c:v>
                </c:pt>
                <c:pt idx="1341">
                  <c:v>43440</c:v>
                </c:pt>
                <c:pt idx="1342">
                  <c:v>43441</c:v>
                </c:pt>
                <c:pt idx="1343">
                  <c:v>43442</c:v>
                </c:pt>
                <c:pt idx="1344">
                  <c:v>43443</c:v>
                </c:pt>
                <c:pt idx="1345">
                  <c:v>43444</c:v>
                </c:pt>
                <c:pt idx="1346">
                  <c:v>43445</c:v>
                </c:pt>
                <c:pt idx="1347">
                  <c:v>43446</c:v>
                </c:pt>
                <c:pt idx="1348">
                  <c:v>43447</c:v>
                </c:pt>
                <c:pt idx="1349">
                  <c:v>43448</c:v>
                </c:pt>
                <c:pt idx="1350">
                  <c:v>43449</c:v>
                </c:pt>
                <c:pt idx="1351">
                  <c:v>43450</c:v>
                </c:pt>
                <c:pt idx="1352">
                  <c:v>43451</c:v>
                </c:pt>
                <c:pt idx="1353">
                  <c:v>43452</c:v>
                </c:pt>
                <c:pt idx="1354">
                  <c:v>43453</c:v>
                </c:pt>
                <c:pt idx="1355">
                  <c:v>43454</c:v>
                </c:pt>
                <c:pt idx="1356">
                  <c:v>43455</c:v>
                </c:pt>
                <c:pt idx="1357">
                  <c:v>43456</c:v>
                </c:pt>
                <c:pt idx="1358">
                  <c:v>43457</c:v>
                </c:pt>
                <c:pt idx="1359">
                  <c:v>43458</c:v>
                </c:pt>
                <c:pt idx="1360">
                  <c:v>43459</c:v>
                </c:pt>
                <c:pt idx="1361">
                  <c:v>43460</c:v>
                </c:pt>
                <c:pt idx="1362">
                  <c:v>43461</c:v>
                </c:pt>
                <c:pt idx="1363">
                  <c:v>43462</c:v>
                </c:pt>
                <c:pt idx="1364">
                  <c:v>43463</c:v>
                </c:pt>
                <c:pt idx="1365">
                  <c:v>43464</c:v>
                </c:pt>
                <c:pt idx="1366">
                  <c:v>43465</c:v>
                </c:pt>
                <c:pt idx="1367">
                  <c:v>43466</c:v>
                </c:pt>
                <c:pt idx="1368">
                  <c:v>43467</c:v>
                </c:pt>
                <c:pt idx="1369">
                  <c:v>43468</c:v>
                </c:pt>
                <c:pt idx="1370">
                  <c:v>43469</c:v>
                </c:pt>
                <c:pt idx="1371">
                  <c:v>43470</c:v>
                </c:pt>
                <c:pt idx="1372">
                  <c:v>43471</c:v>
                </c:pt>
                <c:pt idx="1373">
                  <c:v>43472</c:v>
                </c:pt>
                <c:pt idx="1374">
                  <c:v>43473</c:v>
                </c:pt>
                <c:pt idx="1375">
                  <c:v>43474</c:v>
                </c:pt>
                <c:pt idx="1376">
                  <c:v>43475</c:v>
                </c:pt>
                <c:pt idx="1377">
                  <c:v>43476</c:v>
                </c:pt>
                <c:pt idx="1378">
                  <c:v>43477</c:v>
                </c:pt>
                <c:pt idx="1379">
                  <c:v>43478</c:v>
                </c:pt>
                <c:pt idx="1380">
                  <c:v>43479</c:v>
                </c:pt>
                <c:pt idx="1381">
                  <c:v>43480</c:v>
                </c:pt>
                <c:pt idx="1382">
                  <c:v>43481</c:v>
                </c:pt>
                <c:pt idx="1383">
                  <c:v>43482</c:v>
                </c:pt>
                <c:pt idx="1384">
                  <c:v>43483</c:v>
                </c:pt>
                <c:pt idx="1385">
                  <c:v>43484</c:v>
                </c:pt>
                <c:pt idx="1386">
                  <c:v>43485</c:v>
                </c:pt>
                <c:pt idx="1387">
                  <c:v>43486</c:v>
                </c:pt>
                <c:pt idx="1388">
                  <c:v>43487</c:v>
                </c:pt>
                <c:pt idx="1389">
                  <c:v>43488</c:v>
                </c:pt>
                <c:pt idx="1390">
                  <c:v>43489</c:v>
                </c:pt>
                <c:pt idx="1391">
                  <c:v>43490</c:v>
                </c:pt>
                <c:pt idx="1392">
                  <c:v>43491</c:v>
                </c:pt>
                <c:pt idx="1393">
                  <c:v>43492</c:v>
                </c:pt>
                <c:pt idx="1394">
                  <c:v>43493</c:v>
                </c:pt>
                <c:pt idx="1395">
                  <c:v>43494</c:v>
                </c:pt>
                <c:pt idx="1396">
                  <c:v>43495</c:v>
                </c:pt>
                <c:pt idx="1397">
                  <c:v>43496</c:v>
                </c:pt>
                <c:pt idx="1398">
                  <c:v>43497</c:v>
                </c:pt>
                <c:pt idx="1399">
                  <c:v>43498</c:v>
                </c:pt>
                <c:pt idx="1400">
                  <c:v>43499</c:v>
                </c:pt>
                <c:pt idx="1401">
                  <c:v>43500</c:v>
                </c:pt>
                <c:pt idx="1402">
                  <c:v>43501</c:v>
                </c:pt>
                <c:pt idx="1403">
                  <c:v>43502</c:v>
                </c:pt>
                <c:pt idx="1404">
                  <c:v>43503</c:v>
                </c:pt>
                <c:pt idx="1405">
                  <c:v>43504</c:v>
                </c:pt>
                <c:pt idx="1406">
                  <c:v>43505</c:v>
                </c:pt>
                <c:pt idx="1407">
                  <c:v>43506</c:v>
                </c:pt>
                <c:pt idx="1408">
                  <c:v>43507</c:v>
                </c:pt>
                <c:pt idx="1409">
                  <c:v>43508</c:v>
                </c:pt>
                <c:pt idx="1410">
                  <c:v>43509</c:v>
                </c:pt>
                <c:pt idx="1411">
                  <c:v>43510</c:v>
                </c:pt>
                <c:pt idx="1412">
                  <c:v>43511</c:v>
                </c:pt>
                <c:pt idx="1413">
                  <c:v>43512</c:v>
                </c:pt>
                <c:pt idx="1414">
                  <c:v>43513</c:v>
                </c:pt>
                <c:pt idx="1415">
                  <c:v>43514</c:v>
                </c:pt>
                <c:pt idx="1416">
                  <c:v>43515</c:v>
                </c:pt>
                <c:pt idx="1417">
                  <c:v>43516</c:v>
                </c:pt>
                <c:pt idx="1418">
                  <c:v>43517</c:v>
                </c:pt>
                <c:pt idx="1419">
                  <c:v>43518</c:v>
                </c:pt>
                <c:pt idx="1420">
                  <c:v>43519</c:v>
                </c:pt>
                <c:pt idx="1421">
                  <c:v>43520</c:v>
                </c:pt>
                <c:pt idx="1422">
                  <c:v>43521</c:v>
                </c:pt>
                <c:pt idx="1423">
                  <c:v>43522</c:v>
                </c:pt>
                <c:pt idx="1424">
                  <c:v>43523</c:v>
                </c:pt>
                <c:pt idx="1425">
                  <c:v>43524</c:v>
                </c:pt>
                <c:pt idx="1426">
                  <c:v>43525</c:v>
                </c:pt>
                <c:pt idx="1427">
                  <c:v>43526</c:v>
                </c:pt>
                <c:pt idx="1428">
                  <c:v>43527</c:v>
                </c:pt>
                <c:pt idx="1429">
                  <c:v>43528</c:v>
                </c:pt>
                <c:pt idx="1430">
                  <c:v>43529</c:v>
                </c:pt>
                <c:pt idx="1431">
                  <c:v>43530</c:v>
                </c:pt>
                <c:pt idx="1432">
                  <c:v>43531</c:v>
                </c:pt>
                <c:pt idx="1433">
                  <c:v>43532</c:v>
                </c:pt>
                <c:pt idx="1434">
                  <c:v>43533</c:v>
                </c:pt>
                <c:pt idx="1435">
                  <c:v>43534</c:v>
                </c:pt>
                <c:pt idx="1436">
                  <c:v>43535</c:v>
                </c:pt>
                <c:pt idx="1437">
                  <c:v>43536</c:v>
                </c:pt>
                <c:pt idx="1438">
                  <c:v>43537</c:v>
                </c:pt>
                <c:pt idx="1439">
                  <c:v>43538</c:v>
                </c:pt>
                <c:pt idx="1440">
                  <c:v>43539</c:v>
                </c:pt>
                <c:pt idx="1441">
                  <c:v>43540</c:v>
                </c:pt>
                <c:pt idx="1442">
                  <c:v>43541</c:v>
                </c:pt>
                <c:pt idx="1443">
                  <c:v>43542</c:v>
                </c:pt>
                <c:pt idx="1444">
                  <c:v>43543</c:v>
                </c:pt>
                <c:pt idx="1445">
                  <c:v>43544</c:v>
                </c:pt>
                <c:pt idx="1446">
                  <c:v>43545</c:v>
                </c:pt>
                <c:pt idx="1447">
                  <c:v>43546</c:v>
                </c:pt>
                <c:pt idx="1448">
                  <c:v>43547</c:v>
                </c:pt>
                <c:pt idx="1449">
                  <c:v>43548</c:v>
                </c:pt>
                <c:pt idx="1450">
                  <c:v>43549</c:v>
                </c:pt>
                <c:pt idx="1451">
                  <c:v>43550</c:v>
                </c:pt>
                <c:pt idx="1452">
                  <c:v>43551</c:v>
                </c:pt>
                <c:pt idx="1453">
                  <c:v>43552</c:v>
                </c:pt>
                <c:pt idx="1454">
                  <c:v>43553</c:v>
                </c:pt>
                <c:pt idx="1455">
                  <c:v>43554</c:v>
                </c:pt>
                <c:pt idx="1456">
                  <c:v>43555</c:v>
                </c:pt>
                <c:pt idx="1457">
                  <c:v>43556</c:v>
                </c:pt>
                <c:pt idx="1458">
                  <c:v>43557</c:v>
                </c:pt>
                <c:pt idx="1459">
                  <c:v>43558</c:v>
                </c:pt>
                <c:pt idx="1460">
                  <c:v>43559</c:v>
                </c:pt>
                <c:pt idx="1461">
                  <c:v>43560</c:v>
                </c:pt>
                <c:pt idx="1462">
                  <c:v>43561</c:v>
                </c:pt>
                <c:pt idx="1463">
                  <c:v>43562</c:v>
                </c:pt>
                <c:pt idx="1464">
                  <c:v>43563</c:v>
                </c:pt>
                <c:pt idx="1465">
                  <c:v>43564</c:v>
                </c:pt>
                <c:pt idx="1466">
                  <c:v>43565</c:v>
                </c:pt>
                <c:pt idx="1467">
                  <c:v>43566</c:v>
                </c:pt>
                <c:pt idx="1468">
                  <c:v>43567</c:v>
                </c:pt>
                <c:pt idx="1469">
                  <c:v>43568</c:v>
                </c:pt>
                <c:pt idx="1470">
                  <c:v>43569</c:v>
                </c:pt>
                <c:pt idx="1471">
                  <c:v>43570</c:v>
                </c:pt>
                <c:pt idx="1472">
                  <c:v>43571</c:v>
                </c:pt>
                <c:pt idx="1473">
                  <c:v>43572</c:v>
                </c:pt>
                <c:pt idx="1474">
                  <c:v>43573</c:v>
                </c:pt>
                <c:pt idx="1475">
                  <c:v>43574</c:v>
                </c:pt>
                <c:pt idx="1476">
                  <c:v>43575</c:v>
                </c:pt>
                <c:pt idx="1477">
                  <c:v>43576</c:v>
                </c:pt>
                <c:pt idx="1478">
                  <c:v>43577</c:v>
                </c:pt>
                <c:pt idx="1479">
                  <c:v>43578</c:v>
                </c:pt>
                <c:pt idx="1480">
                  <c:v>43579</c:v>
                </c:pt>
                <c:pt idx="1481">
                  <c:v>43580</c:v>
                </c:pt>
                <c:pt idx="1482">
                  <c:v>43581</c:v>
                </c:pt>
                <c:pt idx="1483">
                  <c:v>43582</c:v>
                </c:pt>
                <c:pt idx="1484">
                  <c:v>43583</c:v>
                </c:pt>
                <c:pt idx="1485">
                  <c:v>43584</c:v>
                </c:pt>
                <c:pt idx="1486">
                  <c:v>43585</c:v>
                </c:pt>
                <c:pt idx="1487">
                  <c:v>43586</c:v>
                </c:pt>
                <c:pt idx="1488">
                  <c:v>43587</c:v>
                </c:pt>
                <c:pt idx="1489">
                  <c:v>43588</c:v>
                </c:pt>
                <c:pt idx="1490">
                  <c:v>43589</c:v>
                </c:pt>
                <c:pt idx="1491">
                  <c:v>43590</c:v>
                </c:pt>
                <c:pt idx="1492">
                  <c:v>43591</c:v>
                </c:pt>
                <c:pt idx="1493">
                  <c:v>43592</c:v>
                </c:pt>
                <c:pt idx="1494">
                  <c:v>43593</c:v>
                </c:pt>
                <c:pt idx="1495">
                  <c:v>43594</c:v>
                </c:pt>
                <c:pt idx="1496">
                  <c:v>43595</c:v>
                </c:pt>
                <c:pt idx="1497">
                  <c:v>43596</c:v>
                </c:pt>
                <c:pt idx="1498">
                  <c:v>43597</c:v>
                </c:pt>
                <c:pt idx="1499">
                  <c:v>43598</c:v>
                </c:pt>
                <c:pt idx="1500">
                  <c:v>43599</c:v>
                </c:pt>
                <c:pt idx="1501">
                  <c:v>43600</c:v>
                </c:pt>
                <c:pt idx="1502">
                  <c:v>43601</c:v>
                </c:pt>
                <c:pt idx="1503">
                  <c:v>43602</c:v>
                </c:pt>
                <c:pt idx="1504">
                  <c:v>43603</c:v>
                </c:pt>
                <c:pt idx="1505">
                  <c:v>43604</c:v>
                </c:pt>
                <c:pt idx="1506">
                  <c:v>43605</c:v>
                </c:pt>
                <c:pt idx="1507">
                  <c:v>43606</c:v>
                </c:pt>
                <c:pt idx="1508">
                  <c:v>43607</c:v>
                </c:pt>
                <c:pt idx="1509">
                  <c:v>43608</c:v>
                </c:pt>
                <c:pt idx="1510">
                  <c:v>43609</c:v>
                </c:pt>
                <c:pt idx="1511">
                  <c:v>43610</c:v>
                </c:pt>
                <c:pt idx="1512">
                  <c:v>43611</c:v>
                </c:pt>
                <c:pt idx="1513">
                  <c:v>43612</c:v>
                </c:pt>
                <c:pt idx="1514">
                  <c:v>43613</c:v>
                </c:pt>
                <c:pt idx="1515">
                  <c:v>43614</c:v>
                </c:pt>
                <c:pt idx="1516">
                  <c:v>43615</c:v>
                </c:pt>
                <c:pt idx="1517">
                  <c:v>43616</c:v>
                </c:pt>
                <c:pt idx="1518">
                  <c:v>43617</c:v>
                </c:pt>
                <c:pt idx="1519">
                  <c:v>43618</c:v>
                </c:pt>
                <c:pt idx="1520">
                  <c:v>43619</c:v>
                </c:pt>
                <c:pt idx="1521">
                  <c:v>43620</c:v>
                </c:pt>
                <c:pt idx="1522">
                  <c:v>43621</c:v>
                </c:pt>
                <c:pt idx="1523">
                  <c:v>43622</c:v>
                </c:pt>
                <c:pt idx="1524">
                  <c:v>43623</c:v>
                </c:pt>
                <c:pt idx="1525">
                  <c:v>43624</c:v>
                </c:pt>
                <c:pt idx="1526">
                  <c:v>43625</c:v>
                </c:pt>
                <c:pt idx="1527">
                  <c:v>43626</c:v>
                </c:pt>
                <c:pt idx="1528">
                  <c:v>43627</c:v>
                </c:pt>
                <c:pt idx="1529">
                  <c:v>43628</c:v>
                </c:pt>
                <c:pt idx="1530">
                  <c:v>43629</c:v>
                </c:pt>
                <c:pt idx="1531">
                  <c:v>43630</c:v>
                </c:pt>
                <c:pt idx="1532">
                  <c:v>43631</c:v>
                </c:pt>
                <c:pt idx="1533">
                  <c:v>43632</c:v>
                </c:pt>
                <c:pt idx="1534">
                  <c:v>43633</c:v>
                </c:pt>
                <c:pt idx="1535">
                  <c:v>43634</c:v>
                </c:pt>
                <c:pt idx="1536">
                  <c:v>43635</c:v>
                </c:pt>
                <c:pt idx="1537">
                  <c:v>43636</c:v>
                </c:pt>
                <c:pt idx="1538">
                  <c:v>43637</c:v>
                </c:pt>
                <c:pt idx="1539">
                  <c:v>43638</c:v>
                </c:pt>
                <c:pt idx="1540">
                  <c:v>43639</c:v>
                </c:pt>
                <c:pt idx="1541">
                  <c:v>43640</c:v>
                </c:pt>
                <c:pt idx="1542">
                  <c:v>43641</c:v>
                </c:pt>
                <c:pt idx="1543">
                  <c:v>43642</c:v>
                </c:pt>
                <c:pt idx="1544">
                  <c:v>43643</c:v>
                </c:pt>
                <c:pt idx="1545">
                  <c:v>43644</c:v>
                </c:pt>
                <c:pt idx="1546">
                  <c:v>43645</c:v>
                </c:pt>
                <c:pt idx="1547">
                  <c:v>43646</c:v>
                </c:pt>
                <c:pt idx="1548">
                  <c:v>43647</c:v>
                </c:pt>
                <c:pt idx="1549">
                  <c:v>43648</c:v>
                </c:pt>
                <c:pt idx="1550">
                  <c:v>43649</c:v>
                </c:pt>
                <c:pt idx="1551">
                  <c:v>43650</c:v>
                </c:pt>
                <c:pt idx="1552">
                  <c:v>43651</c:v>
                </c:pt>
                <c:pt idx="1553">
                  <c:v>43652</c:v>
                </c:pt>
                <c:pt idx="1554">
                  <c:v>43653</c:v>
                </c:pt>
                <c:pt idx="1555">
                  <c:v>43654</c:v>
                </c:pt>
                <c:pt idx="1556">
                  <c:v>43655</c:v>
                </c:pt>
                <c:pt idx="1557">
                  <c:v>43656</c:v>
                </c:pt>
                <c:pt idx="1558">
                  <c:v>43657</c:v>
                </c:pt>
                <c:pt idx="1559">
                  <c:v>43658</c:v>
                </c:pt>
                <c:pt idx="1560">
                  <c:v>43659</c:v>
                </c:pt>
                <c:pt idx="1561">
                  <c:v>43660</c:v>
                </c:pt>
                <c:pt idx="1562">
                  <c:v>43661</c:v>
                </c:pt>
                <c:pt idx="1563">
                  <c:v>43662</c:v>
                </c:pt>
                <c:pt idx="1564">
                  <c:v>43663</c:v>
                </c:pt>
                <c:pt idx="1565">
                  <c:v>43664</c:v>
                </c:pt>
                <c:pt idx="1566">
                  <c:v>43665</c:v>
                </c:pt>
                <c:pt idx="1567">
                  <c:v>43666</c:v>
                </c:pt>
                <c:pt idx="1568">
                  <c:v>43667</c:v>
                </c:pt>
                <c:pt idx="1569">
                  <c:v>43668</c:v>
                </c:pt>
                <c:pt idx="1570">
                  <c:v>43669</c:v>
                </c:pt>
                <c:pt idx="1571">
                  <c:v>43670</c:v>
                </c:pt>
                <c:pt idx="1572">
                  <c:v>43671</c:v>
                </c:pt>
                <c:pt idx="1573">
                  <c:v>43672</c:v>
                </c:pt>
                <c:pt idx="1574">
                  <c:v>43673</c:v>
                </c:pt>
                <c:pt idx="1575">
                  <c:v>43674</c:v>
                </c:pt>
                <c:pt idx="1576">
                  <c:v>43675</c:v>
                </c:pt>
                <c:pt idx="1577">
                  <c:v>43676</c:v>
                </c:pt>
                <c:pt idx="1578">
                  <c:v>43677</c:v>
                </c:pt>
                <c:pt idx="1579">
                  <c:v>43678</c:v>
                </c:pt>
                <c:pt idx="1580">
                  <c:v>43679</c:v>
                </c:pt>
                <c:pt idx="1581">
                  <c:v>43680</c:v>
                </c:pt>
                <c:pt idx="1582">
                  <c:v>43681</c:v>
                </c:pt>
                <c:pt idx="1583">
                  <c:v>43682</c:v>
                </c:pt>
                <c:pt idx="1584">
                  <c:v>43683</c:v>
                </c:pt>
                <c:pt idx="1585">
                  <c:v>43684</c:v>
                </c:pt>
                <c:pt idx="1586">
                  <c:v>43685</c:v>
                </c:pt>
                <c:pt idx="1587">
                  <c:v>43686</c:v>
                </c:pt>
                <c:pt idx="1588">
                  <c:v>43687</c:v>
                </c:pt>
                <c:pt idx="1589">
                  <c:v>43688</c:v>
                </c:pt>
                <c:pt idx="1590">
                  <c:v>43689</c:v>
                </c:pt>
                <c:pt idx="1591">
                  <c:v>43690</c:v>
                </c:pt>
                <c:pt idx="1592">
                  <c:v>43691</c:v>
                </c:pt>
                <c:pt idx="1593">
                  <c:v>43692</c:v>
                </c:pt>
                <c:pt idx="1594">
                  <c:v>43693</c:v>
                </c:pt>
                <c:pt idx="1595">
                  <c:v>43694</c:v>
                </c:pt>
                <c:pt idx="1596">
                  <c:v>43695</c:v>
                </c:pt>
                <c:pt idx="1597">
                  <c:v>43696</c:v>
                </c:pt>
                <c:pt idx="1598">
                  <c:v>43697</c:v>
                </c:pt>
                <c:pt idx="1599">
                  <c:v>43698</c:v>
                </c:pt>
                <c:pt idx="1600">
                  <c:v>43699</c:v>
                </c:pt>
                <c:pt idx="1601">
                  <c:v>43700</c:v>
                </c:pt>
                <c:pt idx="1602">
                  <c:v>43701</c:v>
                </c:pt>
                <c:pt idx="1603">
                  <c:v>43702</c:v>
                </c:pt>
                <c:pt idx="1604">
                  <c:v>43703</c:v>
                </c:pt>
                <c:pt idx="1605">
                  <c:v>43704</c:v>
                </c:pt>
                <c:pt idx="1606">
                  <c:v>43705</c:v>
                </c:pt>
                <c:pt idx="1607">
                  <c:v>43706</c:v>
                </c:pt>
                <c:pt idx="1608">
                  <c:v>43707</c:v>
                </c:pt>
                <c:pt idx="1609">
                  <c:v>43708</c:v>
                </c:pt>
                <c:pt idx="1610">
                  <c:v>43709</c:v>
                </c:pt>
                <c:pt idx="1611">
                  <c:v>43710</c:v>
                </c:pt>
                <c:pt idx="1612">
                  <c:v>43711</c:v>
                </c:pt>
                <c:pt idx="1613">
                  <c:v>43712</c:v>
                </c:pt>
                <c:pt idx="1614">
                  <c:v>43713</c:v>
                </c:pt>
                <c:pt idx="1615">
                  <c:v>43714</c:v>
                </c:pt>
                <c:pt idx="1616">
                  <c:v>43715</c:v>
                </c:pt>
                <c:pt idx="1617">
                  <c:v>43716</c:v>
                </c:pt>
                <c:pt idx="1618">
                  <c:v>43717</c:v>
                </c:pt>
                <c:pt idx="1619">
                  <c:v>43718</c:v>
                </c:pt>
                <c:pt idx="1620">
                  <c:v>43719</c:v>
                </c:pt>
                <c:pt idx="1621">
                  <c:v>43720</c:v>
                </c:pt>
                <c:pt idx="1622">
                  <c:v>43721</c:v>
                </c:pt>
                <c:pt idx="1623">
                  <c:v>43722</c:v>
                </c:pt>
                <c:pt idx="1624">
                  <c:v>43723</c:v>
                </c:pt>
                <c:pt idx="1625">
                  <c:v>43724</c:v>
                </c:pt>
                <c:pt idx="1626">
                  <c:v>43725</c:v>
                </c:pt>
                <c:pt idx="1627">
                  <c:v>43726</c:v>
                </c:pt>
                <c:pt idx="1628">
                  <c:v>43727</c:v>
                </c:pt>
                <c:pt idx="1629">
                  <c:v>43728</c:v>
                </c:pt>
                <c:pt idx="1630">
                  <c:v>43729</c:v>
                </c:pt>
                <c:pt idx="1631">
                  <c:v>43730</c:v>
                </c:pt>
                <c:pt idx="1632">
                  <c:v>43731</c:v>
                </c:pt>
                <c:pt idx="1633">
                  <c:v>43732</c:v>
                </c:pt>
                <c:pt idx="1634">
                  <c:v>43733</c:v>
                </c:pt>
                <c:pt idx="1635">
                  <c:v>43734</c:v>
                </c:pt>
                <c:pt idx="1636">
                  <c:v>43735</c:v>
                </c:pt>
                <c:pt idx="1637">
                  <c:v>43736</c:v>
                </c:pt>
                <c:pt idx="1638">
                  <c:v>43737</c:v>
                </c:pt>
                <c:pt idx="1639">
                  <c:v>43738</c:v>
                </c:pt>
                <c:pt idx="1640">
                  <c:v>43739</c:v>
                </c:pt>
                <c:pt idx="1641">
                  <c:v>43740</c:v>
                </c:pt>
                <c:pt idx="1642">
                  <c:v>43741</c:v>
                </c:pt>
                <c:pt idx="1643">
                  <c:v>43742</c:v>
                </c:pt>
                <c:pt idx="1644">
                  <c:v>43743</c:v>
                </c:pt>
                <c:pt idx="1645">
                  <c:v>43744</c:v>
                </c:pt>
                <c:pt idx="1646">
                  <c:v>43745</c:v>
                </c:pt>
                <c:pt idx="1647">
                  <c:v>43746</c:v>
                </c:pt>
                <c:pt idx="1648">
                  <c:v>43747</c:v>
                </c:pt>
                <c:pt idx="1649">
                  <c:v>43748</c:v>
                </c:pt>
                <c:pt idx="1650">
                  <c:v>43749</c:v>
                </c:pt>
                <c:pt idx="1651">
                  <c:v>43750</c:v>
                </c:pt>
                <c:pt idx="1652">
                  <c:v>43751</c:v>
                </c:pt>
                <c:pt idx="1653">
                  <c:v>43752</c:v>
                </c:pt>
                <c:pt idx="1654">
                  <c:v>43753</c:v>
                </c:pt>
                <c:pt idx="1655">
                  <c:v>43754</c:v>
                </c:pt>
                <c:pt idx="1656">
                  <c:v>43755</c:v>
                </c:pt>
                <c:pt idx="1657">
                  <c:v>43756</c:v>
                </c:pt>
                <c:pt idx="1658">
                  <c:v>43757</c:v>
                </c:pt>
                <c:pt idx="1659">
                  <c:v>43758</c:v>
                </c:pt>
                <c:pt idx="1660">
                  <c:v>43759</c:v>
                </c:pt>
                <c:pt idx="1661">
                  <c:v>43760</c:v>
                </c:pt>
                <c:pt idx="1662">
                  <c:v>43761</c:v>
                </c:pt>
                <c:pt idx="1663">
                  <c:v>43762</c:v>
                </c:pt>
                <c:pt idx="1664">
                  <c:v>43763</c:v>
                </c:pt>
                <c:pt idx="1665">
                  <c:v>43764</c:v>
                </c:pt>
                <c:pt idx="1666">
                  <c:v>43765</c:v>
                </c:pt>
                <c:pt idx="1667">
                  <c:v>43766</c:v>
                </c:pt>
                <c:pt idx="1668">
                  <c:v>43767</c:v>
                </c:pt>
                <c:pt idx="1669">
                  <c:v>43768</c:v>
                </c:pt>
                <c:pt idx="1670">
                  <c:v>43769</c:v>
                </c:pt>
                <c:pt idx="1671">
                  <c:v>43770</c:v>
                </c:pt>
                <c:pt idx="1672">
                  <c:v>43771</c:v>
                </c:pt>
                <c:pt idx="1673">
                  <c:v>43772</c:v>
                </c:pt>
                <c:pt idx="1674">
                  <c:v>43773</c:v>
                </c:pt>
                <c:pt idx="1675">
                  <c:v>43774</c:v>
                </c:pt>
                <c:pt idx="1676">
                  <c:v>43775</c:v>
                </c:pt>
                <c:pt idx="1677">
                  <c:v>43776</c:v>
                </c:pt>
                <c:pt idx="1678">
                  <c:v>43777</c:v>
                </c:pt>
                <c:pt idx="1679">
                  <c:v>43778</c:v>
                </c:pt>
                <c:pt idx="1680">
                  <c:v>43779</c:v>
                </c:pt>
                <c:pt idx="1681">
                  <c:v>43780</c:v>
                </c:pt>
                <c:pt idx="1682">
                  <c:v>43781</c:v>
                </c:pt>
                <c:pt idx="1683">
                  <c:v>43782</c:v>
                </c:pt>
                <c:pt idx="1684">
                  <c:v>43783</c:v>
                </c:pt>
                <c:pt idx="1685">
                  <c:v>43784</c:v>
                </c:pt>
                <c:pt idx="1686">
                  <c:v>43785</c:v>
                </c:pt>
                <c:pt idx="1687">
                  <c:v>43786</c:v>
                </c:pt>
                <c:pt idx="1688">
                  <c:v>43787</c:v>
                </c:pt>
                <c:pt idx="1689">
                  <c:v>43788</c:v>
                </c:pt>
                <c:pt idx="1690">
                  <c:v>43789</c:v>
                </c:pt>
                <c:pt idx="1691">
                  <c:v>43790</c:v>
                </c:pt>
                <c:pt idx="1692">
                  <c:v>43791</c:v>
                </c:pt>
                <c:pt idx="1693">
                  <c:v>43792</c:v>
                </c:pt>
                <c:pt idx="1694">
                  <c:v>43793</c:v>
                </c:pt>
                <c:pt idx="1695">
                  <c:v>43794</c:v>
                </c:pt>
                <c:pt idx="1696">
                  <c:v>43795</c:v>
                </c:pt>
                <c:pt idx="1697">
                  <c:v>43796</c:v>
                </c:pt>
                <c:pt idx="1698">
                  <c:v>43797</c:v>
                </c:pt>
                <c:pt idx="1699">
                  <c:v>43798</c:v>
                </c:pt>
                <c:pt idx="1700">
                  <c:v>43799</c:v>
                </c:pt>
                <c:pt idx="1701">
                  <c:v>43800</c:v>
                </c:pt>
                <c:pt idx="1702">
                  <c:v>43801</c:v>
                </c:pt>
                <c:pt idx="1703">
                  <c:v>43802</c:v>
                </c:pt>
                <c:pt idx="1704">
                  <c:v>43803</c:v>
                </c:pt>
                <c:pt idx="1705">
                  <c:v>43804</c:v>
                </c:pt>
                <c:pt idx="1706">
                  <c:v>43805</c:v>
                </c:pt>
                <c:pt idx="1707">
                  <c:v>43806</c:v>
                </c:pt>
                <c:pt idx="1708">
                  <c:v>43807</c:v>
                </c:pt>
                <c:pt idx="1709">
                  <c:v>43808</c:v>
                </c:pt>
                <c:pt idx="1710">
                  <c:v>43809</c:v>
                </c:pt>
                <c:pt idx="1711">
                  <c:v>43810</c:v>
                </c:pt>
                <c:pt idx="1712">
                  <c:v>43811</c:v>
                </c:pt>
                <c:pt idx="1713">
                  <c:v>43812</c:v>
                </c:pt>
                <c:pt idx="1714">
                  <c:v>43813</c:v>
                </c:pt>
                <c:pt idx="1715">
                  <c:v>43814</c:v>
                </c:pt>
                <c:pt idx="1716">
                  <c:v>43815</c:v>
                </c:pt>
                <c:pt idx="1717">
                  <c:v>43816</c:v>
                </c:pt>
                <c:pt idx="1718">
                  <c:v>43817</c:v>
                </c:pt>
                <c:pt idx="1719">
                  <c:v>43818</c:v>
                </c:pt>
                <c:pt idx="1720">
                  <c:v>43819</c:v>
                </c:pt>
                <c:pt idx="1721">
                  <c:v>43820</c:v>
                </c:pt>
                <c:pt idx="1722">
                  <c:v>43821</c:v>
                </c:pt>
                <c:pt idx="1723">
                  <c:v>43822</c:v>
                </c:pt>
                <c:pt idx="1724">
                  <c:v>43823</c:v>
                </c:pt>
                <c:pt idx="1725">
                  <c:v>43824</c:v>
                </c:pt>
                <c:pt idx="1726">
                  <c:v>43825</c:v>
                </c:pt>
                <c:pt idx="1727">
                  <c:v>43826</c:v>
                </c:pt>
                <c:pt idx="1728">
                  <c:v>43827</c:v>
                </c:pt>
                <c:pt idx="1729">
                  <c:v>43828</c:v>
                </c:pt>
                <c:pt idx="1730">
                  <c:v>43829</c:v>
                </c:pt>
                <c:pt idx="1731">
                  <c:v>43830</c:v>
                </c:pt>
                <c:pt idx="1732">
                  <c:v>43831</c:v>
                </c:pt>
                <c:pt idx="1733">
                  <c:v>43832</c:v>
                </c:pt>
                <c:pt idx="1734">
                  <c:v>43833</c:v>
                </c:pt>
                <c:pt idx="1735">
                  <c:v>43834</c:v>
                </c:pt>
                <c:pt idx="1736">
                  <c:v>43835</c:v>
                </c:pt>
                <c:pt idx="1737">
                  <c:v>43836</c:v>
                </c:pt>
                <c:pt idx="1738">
                  <c:v>43837</c:v>
                </c:pt>
                <c:pt idx="1739">
                  <c:v>43838</c:v>
                </c:pt>
                <c:pt idx="1740">
                  <c:v>43839</c:v>
                </c:pt>
                <c:pt idx="1741">
                  <c:v>43840</c:v>
                </c:pt>
                <c:pt idx="1742">
                  <c:v>43841</c:v>
                </c:pt>
                <c:pt idx="1743">
                  <c:v>43842</c:v>
                </c:pt>
                <c:pt idx="1744">
                  <c:v>43843</c:v>
                </c:pt>
                <c:pt idx="1745">
                  <c:v>43844</c:v>
                </c:pt>
                <c:pt idx="1746">
                  <c:v>43845</c:v>
                </c:pt>
                <c:pt idx="1747">
                  <c:v>43846</c:v>
                </c:pt>
                <c:pt idx="1748">
                  <c:v>43847</c:v>
                </c:pt>
                <c:pt idx="1749">
                  <c:v>43848</c:v>
                </c:pt>
                <c:pt idx="1750">
                  <c:v>43849</c:v>
                </c:pt>
                <c:pt idx="1751">
                  <c:v>43850</c:v>
                </c:pt>
                <c:pt idx="1752">
                  <c:v>43851</c:v>
                </c:pt>
                <c:pt idx="1753">
                  <c:v>43852</c:v>
                </c:pt>
                <c:pt idx="1754">
                  <c:v>43853</c:v>
                </c:pt>
                <c:pt idx="1755">
                  <c:v>43854</c:v>
                </c:pt>
                <c:pt idx="1756">
                  <c:v>43855</c:v>
                </c:pt>
                <c:pt idx="1757">
                  <c:v>43856</c:v>
                </c:pt>
                <c:pt idx="1758">
                  <c:v>43857</c:v>
                </c:pt>
                <c:pt idx="1759">
                  <c:v>43858</c:v>
                </c:pt>
                <c:pt idx="1760">
                  <c:v>43859</c:v>
                </c:pt>
                <c:pt idx="1761">
                  <c:v>43860</c:v>
                </c:pt>
                <c:pt idx="1762">
                  <c:v>43861</c:v>
                </c:pt>
                <c:pt idx="1763">
                  <c:v>43862</c:v>
                </c:pt>
                <c:pt idx="1764">
                  <c:v>43863</c:v>
                </c:pt>
                <c:pt idx="1765">
                  <c:v>43864</c:v>
                </c:pt>
                <c:pt idx="1766">
                  <c:v>43865</c:v>
                </c:pt>
                <c:pt idx="1767">
                  <c:v>43866</c:v>
                </c:pt>
                <c:pt idx="1768">
                  <c:v>43867</c:v>
                </c:pt>
                <c:pt idx="1769">
                  <c:v>43868</c:v>
                </c:pt>
                <c:pt idx="1770">
                  <c:v>43869</c:v>
                </c:pt>
                <c:pt idx="1771">
                  <c:v>43870</c:v>
                </c:pt>
                <c:pt idx="1772">
                  <c:v>43871</c:v>
                </c:pt>
                <c:pt idx="1773">
                  <c:v>43872</c:v>
                </c:pt>
                <c:pt idx="1774">
                  <c:v>43873</c:v>
                </c:pt>
                <c:pt idx="1775">
                  <c:v>43874</c:v>
                </c:pt>
                <c:pt idx="1776">
                  <c:v>43875</c:v>
                </c:pt>
                <c:pt idx="1777">
                  <c:v>43876</c:v>
                </c:pt>
                <c:pt idx="1778">
                  <c:v>43877</c:v>
                </c:pt>
                <c:pt idx="1779">
                  <c:v>43878</c:v>
                </c:pt>
                <c:pt idx="1780">
                  <c:v>43879</c:v>
                </c:pt>
                <c:pt idx="1781">
                  <c:v>43880</c:v>
                </c:pt>
                <c:pt idx="1782">
                  <c:v>43881</c:v>
                </c:pt>
                <c:pt idx="1783">
                  <c:v>43882</c:v>
                </c:pt>
                <c:pt idx="1784">
                  <c:v>43883</c:v>
                </c:pt>
                <c:pt idx="1785">
                  <c:v>43884</c:v>
                </c:pt>
                <c:pt idx="1786">
                  <c:v>43885</c:v>
                </c:pt>
                <c:pt idx="1787">
                  <c:v>43886</c:v>
                </c:pt>
                <c:pt idx="1788">
                  <c:v>43887</c:v>
                </c:pt>
                <c:pt idx="1789">
                  <c:v>43888</c:v>
                </c:pt>
                <c:pt idx="1790">
                  <c:v>43889</c:v>
                </c:pt>
                <c:pt idx="1791">
                  <c:v>43890</c:v>
                </c:pt>
                <c:pt idx="1792">
                  <c:v>43891</c:v>
                </c:pt>
                <c:pt idx="1793">
                  <c:v>43892</c:v>
                </c:pt>
                <c:pt idx="1794">
                  <c:v>43893</c:v>
                </c:pt>
                <c:pt idx="1795">
                  <c:v>43894</c:v>
                </c:pt>
                <c:pt idx="1796">
                  <c:v>43895</c:v>
                </c:pt>
                <c:pt idx="1797">
                  <c:v>43896</c:v>
                </c:pt>
                <c:pt idx="1798">
                  <c:v>43897</c:v>
                </c:pt>
                <c:pt idx="1799">
                  <c:v>43898</c:v>
                </c:pt>
                <c:pt idx="1800">
                  <c:v>43899</c:v>
                </c:pt>
                <c:pt idx="1801">
                  <c:v>43900</c:v>
                </c:pt>
                <c:pt idx="1802">
                  <c:v>43901</c:v>
                </c:pt>
                <c:pt idx="1803">
                  <c:v>43902</c:v>
                </c:pt>
                <c:pt idx="1804">
                  <c:v>43903</c:v>
                </c:pt>
                <c:pt idx="1805">
                  <c:v>43904</c:v>
                </c:pt>
                <c:pt idx="1806">
                  <c:v>43905</c:v>
                </c:pt>
                <c:pt idx="1807">
                  <c:v>43906</c:v>
                </c:pt>
                <c:pt idx="1808">
                  <c:v>43907</c:v>
                </c:pt>
                <c:pt idx="1809">
                  <c:v>43908</c:v>
                </c:pt>
                <c:pt idx="1810">
                  <c:v>43909</c:v>
                </c:pt>
                <c:pt idx="1811">
                  <c:v>43910</c:v>
                </c:pt>
                <c:pt idx="1812">
                  <c:v>43911</c:v>
                </c:pt>
                <c:pt idx="1813">
                  <c:v>43912</c:v>
                </c:pt>
                <c:pt idx="1814">
                  <c:v>43913</c:v>
                </c:pt>
                <c:pt idx="1815">
                  <c:v>43914</c:v>
                </c:pt>
                <c:pt idx="1816">
                  <c:v>43915</c:v>
                </c:pt>
                <c:pt idx="1817">
                  <c:v>43916</c:v>
                </c:pt>
                <c:pt idx="1818">
                  <c:v>43917</c:v>
                </c:pt>
                <c:pt idx="1819">
                  <c:v>43918</c:v>
                </c:pt>
                <c:pt idx="1820">
                  <c:v>43919</c:v>
                </c:pt>
                <c:pt idx="1821">
                  <c:v>43920</c:v>
                </c:pt>
                <c:pt idx="1822">
                  <c:v>43921</c:v>
                </c:pt>
                <c:pt idx="1823">
                  <c:v>43922</c:v>
                </c:pt>
                <c:pt idx="1824">
                  <c:v>43923</c:v>
                </c:pt>
                <c:pt idx="1825">
                  <c:v>43924</c:v>
                </c:pt>
                <c:pt idx="1826">
                  <c:v>43925</c:v>
                </c:pt>
                <c:pt idx="1827">
                  <c:v>43926</c:v>
                </c:pt>
                <c:pt idx="1828">
                  <c:v>43927</c:v>
                </c:pt>
                <c:pt idx="1829">
                  <c:v>43928</c:v>
                </c:pt>
                <c:pt idx="1830">
                  <c:v>43929</c:v>
                </c:pt>
                <c:pt idx="1831">
                  <c:v>43930</c:v>
                </c:pt>
                <c:pt idx="1832">
                  <c:v>43931</c:v>
                </c:pt>
                <c:pt idx="1833">
                  <c:v>43932</c:v>
                </c:pt>
                <c:pt idx="1834">
                  <c:v>43933</c:v>
                </c:pt>
                <c:pt idx="1835">
                  <c:v>43934</c:v>
                </c:pt>
                <c:pt idx="1836">
                  <c:v>43935</c:v>
                </c:pt>
                <c:pt idx="1837">
                  <c:v>43936</c:v>
                </c:pt>
                <c:pt idx="1838">
                  <c:v>43937</c:v>
                </c:pt>
                <c:pt idx="1839">
                  <c:v>43938</c:v>
                </c:pt>
                <c:pt idx="1840">
                  <c:v>43939</c:v>
                </c:pt>
                <c:pt idx="1841">
                  <c:v>43940</c:v>
                </c:pt>
                <c:pt idx="1842">
                  <c:v>43941</c:v>
                </c:pt>
                <c:pt idx="1843">
                  <c:v>43942</c:v>
                </c:pt>
                <c:pt idx="1844">
                  <c:v>43943</c:v>
                </c:pt>
                <c:pt idx="1845">
                  <c:v>43944</c:v>
                </c:pt>
                <c:pt idx="1846">
                  <c:v>43945</c:v>
                </c:pt>
                <c:pt idx="1847">
                  <c:v>43946</c:v>
                </c:pt>
                <c:pt idx="1848">
                  <c:v>43947</c:v>
                </c:pt>
                <c:pt idx="1849">
                  <c:v>43948</c:v>
                </c:pt>
                <c:pt idx="1850">
                  <c:v>43949</c:v>
                </c:pt>
                <c:pt idx="1851">
                  <c:v>43950</c:v>
                </c:pt>
                <c:pt idx="1852">
                  <c:v>43951</c:v>
                </c:pt>
                <c:pt idx="1853">
                  <c:v>43952</c:v>
                </c:pt>
                <c:pt idx="1854">
                  <c:v>43953</c:v>
                </c:pt>
                <c:pt idx="1855">
                  <c:v>43954</c:v>
                </c:pt>
                <c:pt idx="1856">
                  <c:v>43955</c:v>
                </c:pt>
                <c:pt idx="1857">
                  <c:v>43956</c:v>
                </c:pt>
                <c:pt idx="1858">
                  <c:v>43957</c:v>
                </c:pt>
                <c:pt idx="1859">
                  <c:v>43958</c:v>
                </c:pt>
                <c:pt idx="1860">
                  <c:v>43959</c:v>
                </c:pt>
                <c:pt idx="1861">
                  <c:v>43960</c:v>
                </c:pt>
                <c:pt idx="1862">
                  <c:v>43961</c:v>
                </c:pt>
                <c:pt idx="1863">
                  <c:v>43962</c:v>
                </c:pt>
                <c:pt idx="1864">
                  <c:v>43963</c:v>
                </c:pt>
                <c:pt idx="1865">
                  <c:v>43964</c:v>
                </c:pt>
                <c:pt idx="1866">
                  <c:v>43965</c:v>
                </c:pt>
                <c:pt idx="1867">
                  <c:v>43966</c:v>
                </c:pt>
                <c:pt idx="1868">
                  <c:v>43967</c:v>
                </c:pt>
                <c:pt idx="1869">
                  <c:v>43968</c:v>
                </c:pt>
                <c:pt idx="1870">
                  <c:v>43969</c:v>
                </c:pt>
                <c:pt idx="1871">
                  <c:v>43970</c:v>
                </c:pt>
                <c:pt idx="1872">
                  <c:v>43971</c:v>
                </c:pt>
                <c:pt idx="1873">
                  <c:v>43972</c:v>
                </c:pt>
                <c:pt idx="1874">
                  <c:v>43973</c:v>
                </c:pt>
                <c:pt idx="1875">
                  <c:v>43974</c:v>
                </c:pt>
                <c:pt idx="1876">
                  <c:v>43975</c:v>
                </c:pt>
                <c:pt idx="1877">
                  <c:v>43976</c:v>
                </c:pt>
                <c:pt idx="1878">
                  <c:v>43977</c:v>
                </c:pt>
                <c:pt idx="1879">
                  <c:v>43978</c:v>
                </c:pt>
                <c:pt idx="1880">
                  <c:v>43979</c:v>
                </c:pt>
                <c:pt idx="1881">
                  <c:v>43980</c:v>
                </c:pt>
                <c:pt idx="1882">
                  <c:v>43981</c:v>
                </c:pt>
                <c:pt idx="1883">
                  <c:v>43982</c:v>
                </c:pt>
                <c:pt idx="1884">
                  <c:v>43983</c:v>
                </c:pt>
                <c:pt idx="1885">
                  <c:v>43984</c:v>
                </c:pt>
                <c:pt idx="1886">
                  <c:v>43985</c:v>
                </c:pt>
                <c:pt idx="1887">
                  <c:v>43986</c:v>
                </c:pt>
                <c:pt idx="1888">
                  <c:v>43987</c:v>
                </c:pt>
                <c:pt idx="1889">
                  <c:v>43988</c:v>
                </c:pt>
                <c:pt idx="1890">
                  <c:v>43989</c:v>
                </c:pt>
                <c:pt idx="1891">
                  <c:v>43990</c:v>
                </c:pt>
                <c:pt idx="1892">
                  <c:v>43991</c:v>
                </c:pt>
                <c:pt idx="1893">
                  <c:v>43992</c:v>
                </c:pt>
                <c:pt idx="1894">
                  <c:v>43993</c:v>
                </c:pt>
                <c:pt idx="1895">
                  <c:v>43994</c:v>
                </c:pt>
                <c:pt idx="1896">
                  <c:v>43995</c:v>
                </c:pt>
                <c:pt idx="1897">
                  <c:v>43996</c:v>
                </c:pt>
                <c:pt idx="1898">
                  <c:v>43997</c:v>
                </c:pt>
                <c:pt idx="1899">
                  <c:v>43998</c:v>
                </c:pt>
                <c:pt idx="1900">
                  <c:v>43999</c:v>
                </c:pt>
                <c:pt idx="1901">
                  <c:v>44000</c:v>
                </c:pt>
                <c:pt idx="1902">
                  <c:v>44001</c:v>
                </c:pt>
                <c:pt idx="1903">
                  <c:v>44002</c:v>
                </c:pt>
                <c:pt idx="1904">
                  <c:v>44003</c:v>
                </c:pt>
                <c:pt idx="1905">
                  <c:v>44004</c:v>
                </c:pt>
                <c:pt idx="1906">
                  <c:v>44005</c:v>
                </c:pt>
                <c:pt idx="1907">
                  <c:v>44006</c:v>
                </c:pt>
                <c:pt idx="1908">
                  <c:v>44007</c:v>
                </c:pt>
                <c:pt idx="1909">
                  <c:v>44008</c:v>
                </c:pt>
                <c:pt idx="1910">
                  <c:v>44009</c:v>
                </c:pt>
                <c:pt idx="1911">
                  <c:v>44010</c:v>
                </c:pt>
                <c:pt idx="1912">
                  <c:v>44011</c:v>
                </c:pt>
                <c:pt idx="1913">
                  <c:v>44012</c:v>
                </c:pt>
                <c:pt idx="1914">
                  <c:v>44013</c:v>
                </c:pt>
                <c:pt idx="1915">
                  <c:v>44014</c:v>
                </c:pt>
                <c:pt idx="1916">
                  <c:v>44015</c:v>
                </c:pt>
                <c:pt idx="1917">
                  <c:v>44016</c:v>
                </c:pt>
                <c:pt idx="1918">
                  <c:v>44017</c:v>
                </c:pt>
                <c:pt idx="1919">
                  <c:v>44018</c:v>
                </c:pt>
                <c:pt idx="1920">
                  <c:v>44019</c:v>
                </c:pt>
                <c:pt idx="1921">
                  <c:v>44020</c:v>
                </c:pt>
                <c:pt idx="1922">
                  <c:v>44021</c:v>
                </c:pt>
                <c:pt idx="1923">
                  <c:v>44022</c:v>
                </c:pt>
                <c:pt idx="1924">
                  <c:v>44023</c:v>
                </c:pt>
                <c:pt idx="1925">
                  <c:v>44024</c:v>
                </c:pt>
                <c:pt idx="1926">
                  <c:v>44025</c:v>
                </c:pt>
                <c:pt idx="1927">
                  <c:v>44026</c:v>
                </c:pt>
                <c:pt idx="1928">
                  <c:v>44027</c:v>
                </c:pt>
                <c:pt idx="1929">
                  <c:v>44028</c:v>
                </c:pt>
                <c:pt idx="1930">
                  <c:v>44029</c:v>
                </c:pt>
                <c:pt idx="1931">
                  <c:v>44030</c:v>
                </c:pt>
                <c:pt idx="1932">
                  <c:v>44031</c:v>
                </c:pt>
                <c:pt idx="1933">
                  <c:v>44032</c:v>
                </c:pt>
                <c:pt idx="1934">
                  <c:v>44033</c:v>
                </c:pt>
                <c:pt idx="1935">
                  <c:v>44034</c:v>
                </c:pt>
                <c:pt idx="1936">
                  <c:v>44035</c:v>
                </c:pt>
                <c:pt idx="1937">
                  <c:v>44036</c:v>
                </c:pt>
                <c:pt idx="1938">
                  <c:v>44037</c:v>
                </c:pt>
                <c:pt idx="1939">
                  <c:v>44038</c:v>
                </c:pt>
                <c:pt idx="1940">
                  <c:v>44039</c:v>
                </c:pt>
                <c:pt idx="1941">
                  <c:v>44040</c:v>
                </c:pt>
                <c:pt idx="1942">
                  <c:v>44041</c:v>
                </c:pt>
                <c:pt idx="1943">
                  <c:v>44042</c:v>
                </c:pt>
                <c:pt idx="1944">
                  <c:v>44043</c:v>
                </c:pt>
                <c:pt idx="1945">
                  <c:v>44044</c:v>
                </c:pt>
                <c:pt idx="1946">
                  <c:v>44045</c:v>
                </c:pt>
                <c:pt idx="1947">
                  <c:v>44046</c:v>
                </c:pt>
                <c:pt idx="1948">
                  <c:v>44047</c:v>
                </c:pt>
                <c:pt idx="1949">
                  <c:v>44048</c:v>
                </c:pt>
                <c:pt idx="1950">
                  <c:v>44049</c:v>
                </c:pt>
                <c:pt idx="1951">
                  <c:v>44050</c:v>
                </c:pt>
                <c:pt idx="1952">
                  <c:v>44051</c:v>
                </c:pt>
                <c:pt idx="1953">
                  <c:v>44052</c:v>
                </c:pt>
                <c:pt idx="1954">
                  <c:v>44053</c:v>
                </c:pt>
                <c:pt idx="1955">
                  <c:v>44054</c:v>
                </c:pt>
                <c:pt idx="1956">
                  <c:v>44055</c:v>
                </c:pt>
                <c:pt idx="1957">
                  <c:v>44056</c:v>
                </c:pt>
                <c:pt idx="1958">
                  <c:v>44057</c:v>
                </c:pt>
                <c:pt idx="1959">
                  <c:v>44058</c:v>
                </c:pt>
                <c:pt idx="1960">
                  <c:v>44059</c:v>
                </c:pt>
                <c:pt idx="1961">
                  <c:v>44060</c:v>
                </c:pt>
                <c:pt idx="1962">
                  <c:v>44061</c:v>
                </c:pt>
                <c:pt idx="1963">
                  <c:v>44062</c:v>
                </c:pt>
                <c:pt idx="1964">
                  <c:v>44063</c:v>
                </c:pt>
                <c:pt idx="1965">
                  <c:v>44064</c:v>
                </c:pt>
                <c:pt idx="1966">
                  <c:v>44065</c:v>
                </c:pt>
                <c:pt idx="1967">
                  <c:v>44066</c:v>
                </c:pt>
                <c:pt idx="1968">
                  <c:v>44067</c:v>
                </c:pt>
                <c:pt idx="1969">
                  <c:v>44068</c:v>
                </c:pt>
                <c:pt idx="1970">
                  <c:v>44069</c:v>
                </c:pt>
                <c:pt idx="1971">
                  <c:v>44070</c:v>
                </c:pt>
                <c:pt idx="1972">
                  <c:v>44071</c:v>
                </c:pt>
                <c:pt idx="1973">
                  <c:v>44072</c:v>
                </c:pt>
                <c:pt idx="1974">
                  <c:v>44073</c:v>
                </c:pt>
                <c:pt idx="1975">
                  <c:v>44074</c:v>
                </c:pt>
                <c:pt idx="1976">
                  <c:v>44075</c:v>
                </c:pt>
                <c:pt idx="1977">
                  <c:v>44076</c:v>
                </c:pt>
                <c:pt idx="1978">
                  <c:v>44077</c:v>
                </c:pt>
                <c:pt idx="1979">
                  <c:v>44078</c:v>
                </c:pt>
                <c:pt idx="1980">
                  <c:v>44079</c:v>
                </c:pt>
                <c:pt idx="1981">
                  <c:v>44080</c:v>
                </c:pt>
                <c:pt idx="1982">
                  <c:v>44081</c:v>
                </c:pt>
                <c:pt idx="1983">
                  <c:v>44082</c:v>
                </c:pt>
                <c:pt idx="1984">
                  <c:v>44083</c:v>
                </c:pt>
                <c:pt idx="1985">
                  <c:v>44084</c:v>
                </c:pt>
                <c:pt idx="1986">
                  <c:v>44085</c:v>
                </c:pt>
                <c:pt idx="1987">
                  <c:v>44086</c:v>
                </c:pt>
                <c:pt idx="1988">
                  <c:v>44087</c:v>
                </c:pt>
                <c:pt idx="1989">
                  <c:v>44088</c:v>
                </c:pt>
                <c:pt idx="1990">
                  <c:v>44089</c:v>
                </c:pt>
                <c:pt idx="1991">
                  <c:v>44090</c:v>
                </c:pt>
                <c:pt idx="1992">
                  <c:v>44091</c:v>
                </c:pt>
                <c:pt idx="1993">
                  <c:v>44092</c:v>
                </c:pt>
                <c:pt idx="1994">
                  <c:v>44093</c:v>
                </c:pt>
                <c:pt idx="1995">
                  <c:v>44094</c:v>
                </c:pt>
                <c:pt idx="1996">
                  <c:v>44095</c:v>
                </c:pt>
                <c:pt idx="1997">
                  <c:v>44096</c:v>
                </c:pt>
                <c:pt idx="1998">
                  <c:v>44097</c:v>
                </c:pt>
                <c:pt idx="1999">
                  <c:v>44098</c:v>
                </c:pt>
                <c:pt idx="2000">
                  <c:v>44099</c:v>
                </c:pt>
                <c:pt idx="2001">
                  <c:v>44100</c:v>
                </c:pt>
                <c:pt idx="2002">
                  <c:v>44101</c:v>
                </c:pt>
                <c:pt idx="2003">
                  <c:v>44102</c:v>
                </c:pt>
                <c:pt idx="2004">
                  <c:v>44103</c:v>
                </c:pt>
                <c:pt idx="2005">
                  <c:v>44104</c:v>
                </c:pt>
                <c:pt idx="2006">
                  <c:v>44105</c:v>
                </c:pt>
                <c:pt idx="2007">
                  <c:v>44106</c:v>
                </c:pt>
                <c:pt idx="2008">
                  <c:v>44107</c:v>
                </c:pt>
                <c:pt idx="2009">
                  <c:v>44108</c:v>
                </c:pt>
                <c:pt idx="2010">
                  <c:v>44109</c:v>
                </c:pt>
                <c:pt idx="2011">
                  <c:v>44110</c:v>
                </c:pt>
                <c:pt idx="2012">
                  <c:v>44111</c:v>
                </c:pt>
                <c:pt idx="2013">
                  <c:v>44112</c:v>
                </c:pt>
                <c:pt idx="2014">
                  <c:v>44113</c:v>
                </c:pt>
                <c:pt idx="2015">
                  <c:v>44114</c:v>
                </c:pt>
                <c:pt idx="2016">
                  <c:v>44115</c:v>
                </c:pt>
                <c:pt idx="2017">
                  <c:v>44116</c:v>
                </c:pt>
                <c:pt idx="2018">
                  <c:v>44117</c:v>
                </c:pt>
                <c:pt idx="2019">
                  <c:v>44118</c:v>
                </c:pt>
                <c:pt idx="2020">
                  <c:v>44119</c:v>
                </c:pt>
                <c:pt idx="2021">
                  <c:v>44120</c:v>
                </c:pt>
                <c:pt idx="2022">
                  <c:v>44121</c:v>
                </c:pt>
                <c:pt idx="2023">
                  <c:v>44122</c:v>
                </c:pt>
                <c:pt idx="2024">
                  <c:v>44123</c:v>
                </c:pt>
                <c:pt idx="2025">
                  <c:v>44124</c:v>
                </c:pt>
                <c:pt idx="2026">
                  <c:v>44125</c:v>
                </c:pt>
                <c:pt idx="2027">
                  <c:v>44126</c:v>
                </c:pt>
                <c:pt idx="2028">
                  <c:v>44127</c:v>
                </c:pt>
                <c:pt idx="2029">
                  <c:v>44128</c:v>
                </c:pt>
                <c:pt idx="2030">
                  <c:v>44129</c:v>
                </c:pt>
                <c:pt idx="2031">
                  <c:v>44130</c:v>
                </c:pt>
                <c:pt idx="2032">
                  <c:v>44131</c:v>
                </c:pt>
                <c:pt idx="2033">
                  <c:v>44132</c:v>
                </c:pt>
                <c:pt idx="2034">
                  <c:v>44133</c:v>
                </c:pt>
                <c:pt idx="2035">
                  <c:v>44134</c:v>
                </c:pt>
                <c:pt idx="2036">
                  <c:v>44135</c:v>
                </c:pt>
                <c:pt idx="2037">
                  <c:v>44136</c:v>
                </c:pt>
                <c:pt idx="2038">
                  <c:v>44137</c:v>
                </c:pt>
                <c:pt idx="2039">
                  <c:v>44138</c:v>
                </c:pt>
                <c:pt idx="2040">
                  <c:v>44139</c:v>
                </c:pt>
                <c:pt idx="2041">
                  <c:v>44140</c:v>
                </c:pt>
                <c:pt idx="2042">
                  <c:v>44141</c:v>
                </c:pt>
                <c:pt idx="2043">
                  <c:v>44142</c:v>
                </c:pt>
                <c:pt idx="2044">
                  <c:v>44143</c:v>
                </c:pt>
                <c:pt idx="2045">
                  <c:v>44144</c:v>
                </c:pt>
                <c:pt idx="2046">
                  <c:v>44145</c:v>
                </c:pt>
                <c:pt idx="2047">
                  <c:v>44146</c:v>
                </c:pt>
                <c:pt idx="2048">
                  <c:v>44147</c:v>
                </c:pt>
                <c:pt idx="2049">
                  <c:v>44148</c:v>
                </c:pt>
                <c:pt idx="2050">
                  <c:v>44149</c:v>
                </c:pt>
                <c:pt idx="2051">
                  <c:v>44150</c:v>
                </c:pt>
                <c:pt idx="2052">
                  <c:v>44151</c:v>
                </c:pt>
                <c:pt idx="2053">
                  <c:v>44152</c:v>
                </c:pt>
                <c:pt idx="2054">
                  <c:v>44153</c:v>
                </c:pt>
                <c:pt idx="2055">
                  <c:v>44154</c:v>
                </c:pt>
                <c:pt idx="2056">
                  <c:v>44155</c:v>
                </c:pt>
                <c:pt idx="2057">
                  <c:v>44156</c:v>
                </c:pt>
                <c:pt idx="2058">
                  <c:v>44157</c:v>
                </c:pt>
                <c:pt idx="2059">
                  <c:v>44158</c:v>
                </c:pt>
                <c:pt idx="2060">
                  <c:v>44159</c:v>
                </c:pt>
                <c:pt idx="2061">
                  <c:v>44160</c:v>
                </c:pt>
                <c:pt idx="2062">
                  <c:v>44161</c:v>
                </c:pt>
                <c:pt idx="2063">
                  <c:v>44162</c:v>
                </c:pt>
                <c:pt idx="2064">
                  <c:v>44163</c:v>
                </c:pt>
                <c:pt idx="2065">
                  <c:v>44164</c:v>
                </c:pt>
                <c:pt idx="2066">
                  <c:v>44165</c:v>
                </c:pt>
                <c:pt idx="2067">
                  <c:v>44166</c:v>
                </c:pt>
                <c:pt idx="2068">
                  <c:v>44167</c:v>
                </c:pt>
                <c:pt idx="2069">
                  <c:v>44168</c:v>
                </c:pt>
                <c:pt idx="2070">
                  <c:v>44169</c:v>
                </c:pt>
                <c:pt idx="2071">
                  <c:v>44170</c:v>
                </c:pt>
                <c:pt idx="2072">
                  <c:v>44171</c:v>
                </c:pt>
                <c:pt idx="2073">
                  <c:v>44172</c:v>
                </c:pt>
                <c:pt idx="2074">
                  <c:v>44173</c:v>
                </c:pt>
                <c:pt idx="2075">
                  <c:v>44174</c:v>
                </c:pt>
                <c:pt idx="2076">
                  <c:v>44175</c:v>
                </c:pt>
                <c:pt idx="2077">
                  <c:v>44176</c:v>
                </c:pt>
                <c:pt idx="2078">
                  <c:v>44177</c:v>
                </c:pt>
                <c:pt idx="2079">
                  <c:v>44178</c:v>
                </c:pt>
                <c:pt idx="2080">
                  <c:v>44179</c:v>
                </c:pt>
                <c:pt idx="2081">
                  <c:v>44180</c:v>
                </c:pt>
                <c:pt idx="2082">
                  <c:v>44181</c:v>
                </c:pt>
                <c:pt idx="2083">
                  <c:v>44182</c:v>
                </c:pt>
                <c:pt idx="2084">
                  <c:v>44183</c:v>
                </c:pt>
                <c:pt idx="2085">
                  <c:v>44184</c:v>
                </c:pt>
                <c:pt idx="2086">
                  <c:v>44185</c:v>
                </c:pt>
                <c:pt idx="2087">
                  <c:v>44186</c:v>
                </c:pt>
                <c:pt idx="2088">
                  <c:v>44187</c:v>
                </c:pt>
                <c:pt idx="2089">
                  <c:v>44188</c:v>
                </c:pt>
                <c:pt idx="2090">
                  <c:v>44189</c:v>
                </c:pt>
                <c:pt idx="2091">
                  <c:v>44190</c:v>
                </c:pt>
                <c:pt idx="2092">
                  <c:v>44191</c:v>
                </c:pt>
                <c:pt idx="2093">
                  <c:v>44192</c:v>
                </c:pt>
                <c:pt idx="2094">
                  <c:v>44193</c:v>
                </c:pt>
                <c:pt idx="2095">
                  <c:v>44194</c:v>
                </c:pt>
                <c:pt idx="2096">
                  <c:v>44195</c:v>
                </c:pt>
                <c:pt idx="2097">
                  <c:v>44196</c:v>
                </c:pt>
                <c:pt idx="2098">
                  <c:v>44197</c:v>
                </c:pt>
                <c:pt idx="2099">
                  <c:v>44198</c:v>
                </c:pt>
                <c:pt idx="2100">
                  <c:v>44199</c:v>
                </c:pt>
                <c:pt idx="2101">
                  <c:v>44200</c:v>
                </c:pt>
                <c:pt idx="2102">
                  <c:v>44201</c:v>
                </c:pt>
                <c:pt idx="2103">
                  <c:v>44202</c:v>
                </c:pt>
                <c:pt idx="2104">
                  <c:v>44203</c:v>
                </c:pt>
                <c:pt idx="2105">
                  <c:v>44204</c:v>
                </c:pt>
                <c:pt idx="2106">
                  <c:v>44205</c:v>
                </c:pt>
                <c:pt idx="2107">
                  <c:v>44206</c:v>
                </c:pt>
                <c:pt idx="2108">
                  <c:v>44207</c:v>
                </c:pt>
                <c:pt idx="2109">
                  <c:v>44208</c:v>
                </c:pt>
                <c:pt idx="2110">
                  <c:v>44209</c:v>
                </c:pt>
                <c:pt idx="2111">
                  <c:v>44210</c:v>
                </c:pt>
                <c:pt idx="2112">
                  <c:v>44211</c:v>
                </c:pt>
                <c:pt idx="2113">
                  <c:v>44212</c:v>
                </c:pt>
                <c:pt idx="2114">
                  <c:v>44213</c:v>
                </c:pt>
                <c:pt idx="2115">
                  <c:v>44214</c:v>
                </c:pt>
                <c:pt idx="2116">
                  <c:v>44215</c:v>
                </c:pt>
                <c:pt idx="2117">
                  <c:v>44216</c:v>
                </c:pt>
                <c:pt idx="2118">
                  <c:v>44217</c:v>
                </c:pt>
                <c:pt idx="2119">
                  <c:v>44218</c:v>
                </c:pt>
                <c:pt idx="2120">
                  <c:v>44219</c:v>
                </c:pt>
                <c:pt idx="2121">
                  <c:v>44220</c:v>
                </c:pt>
                <c:pt idx="2122">
                  <c:v>44221</c:v>
                </c:pt>
                <c:pt idx="2123">
                  <c:v>44222</c:v>
                </c:pt>
                <c:pt idx="2124">
                  <c:v>44223</c:v>
                </c:pt>
                <c:pt idx="2125">
                  <c:v>44224</c:v>
                </c:pt>
                <c:pt idx="2126">
                  <c:v>44225</c:v>
                </c:pt>
                <c:pt idx="2127">
                  <c:v>44226</c:v>
                </c:pt>
                <c:pt idx="2128">
                  <c:v>44227</c:v>
                </c:pt>
                <c:pt idx="2129">
                  <c:v>44228</c:v>
                </c:pt>
                <c:pt idx="2130">
                  <c:v>44229</c:v>
                </c:pt>
                <c:pt idx="2131">
                  <c:v>44230</c:v>
                </c:pt>
                <c:pt idx="2132">
                  <c:v>44231</c:v>
                </c:pt>
                <c:pt idx="2133">
                  <c:v>44232</c:v>
                </c:pt>
                <c:pt idx="2134">
                  <c:v>44233</c:v>
                </c:pt>
                <c:pt idx="2135">
                  <c:v>44234</c:v>
                </c:pt>
                <c:pt idx="2136">
                  <c:v>44235</c:v>
                </c:pt>
                <c:pt idx="2137">
                  <c:v>44236</c:v>
                </c:pt>
                <c:pt idx="2138">
                  <c:v>44237</c:v>
                </c:pt>
                <c:pt idx="2139">
                  <c:v>44238</c:v>
                </c:pt>
                <c:pt idx="2140">
                  <c:v>44239</c:v>
                </c:pt>
                <c:pt idx="2141">
                  <c:v>44240</c:v>
                </c:pt>
                <c:pt idx="2142">
                  <c:v>44241</c:v>
                </c:pt>
                <c:pt idx="2143">
                  <c:v>44242</c:v>
                </c:pt>
                <c:pt idx="2144">
                  <c:v>44243</c:v>
                </c:pt>
                <c:pt idx="2145">
                  <c:v>44244</c:v>
                </c:pt>
                <c:pt idx="2146">
                  <c:v>44245</c:v>
                </c:pt>
                <c:pt idx="2147">
                  <c:v>44246</c:v>
                </c:pt>
                <c:pt idx="2148">
                  <c:v>44247</c:v>
                </c:pt>
                <c:pt idx="2149">
                  <c:v>44248</c:v>
                </c:pt>
                <c:pt idx="2150">
                  <c:v>44249</c:v>
                </c:pt>
                <c:pt idx="2151">
                  <c:v>44250</c:v>
                </c:pt>
                <c:pt idx="2152">
                  <c:v>44251</c:v>
                </c:pt>
                <c:pt idx="2153">
                  <c:v>44252</c:v>
                </c:pt>
                <c:pt idx="2154">
                  <c:v>44253</c:v>
                </c:pt>
                <c:pt idx="2155">
                  <c:v>44254</c:v>
                </c:pt>
                <c:pt idx="2156">
                  <c:v>44255</c:v>
                </c:pt>
                <c:pt idx="2157">
                  <c:v>44256</c:v>
                </c:pt>
                <c:pt idx="2158">
                  <c:v>44257</c:v>
                </c:pt>
                <c:pt idx="2159">
                  <c:v>44258</c:v>
                </c:pt>
                <c:pt idx="2160">
                  <c:v>44259</c:v>
                </c:pt>
                <c:pt idx="2161">
                  <c:v>44260</c:v>
                </c:pt>
                <c:pt idx="2162">
                  <c:v>44261</c:v>
                </c:pt>
                <c:pt idx="2163">
                  <c:v>44262</c:v>
                </c:pt>
                <c:pt idx="2164">
                  <c:v>44263</c:v>
                </c:pt>
                <c:pt idx="2165">
                  <c:v>44264</c:v>
                </c:pt>
                <c:pt idx="2166">
                  <c:v>44265</c:v>
                </c:pt>
                <c:pt idx="2167">
                  <c:v>44266</c:v>
                </c:pt>
                <c:pt idx="2168">
                  <c:v>44267</c:v>
                </c:pt>
                <c:pt idx="2169">
                  <c:v>44268</c:v>
                </c:pt>
                <c:pt idx="2170">
                  <c:v>44269</c:v>
                </c:pt>
                <c:pt idx="2171">
                  <c:v>44270</c:v>
                </c:pt>
                <c:pt idx="2172">
                  <c:v>44271</c:v>
                </c:pt>
                <c:pt idx="2173">
                  <c:v>44272</c:v>
                </c:pt>
                <c:pt idx="2174">
                  <c:v>44273</c:v>
                </c:pt>
                <c:pt idx="2175">
                  <c:v>44274</c:v>
                </c:pt>
                <c:pt idx="2176">
                  <c:v>44275</c:v>
                </c:pt>
                <c:pt idx="2177">
                  <c:v>44276</c:v>
                </c:pt>
                <c:pt idx="2178">
                  <c:v>44277</c:v>
                </c:pt>
                <c:pt idx="2179">
                  <c:v>44278</c:v>
                </c:pt>
                <c:pt idx="2180">
                  <c:v>44279</c:v>
                </c:pt>
                <c:pt idx="2181">
                  <c:v>44280</c:v>
                </c:pt>
                <c:pt idx="2182">
                  <c:v>44281</c:v>
                </c:pt>
                <c:pt idx="2183">
                  <c:v>44282</c:v>
                </c:pt>
                <c:pt idx="2184">
                  <c:v>44283</c:v>
                </c:pt>
                <c:pt idx="2185">
                  <c:v>44284</c:v>
                </c:pt>
                <c:pt idx="2186">
                  <c:v>44285</c:v>
                </c:pt>
                <c:pt idx="2187">
                  <c:v>44286</c:v>
                </c:pt>
                <c:pt idx="2188">
                  <c:v>44287</c:v>
                </c:pt>
                <c:pt idx="2189">
                  <c:v>44288</c:v>
                </c:pt>
                <c:pt idx="2190">
                  <c:v>44289</c:v>
                </c:pt>
                <c:pt idx="2191">
                  <c:v>44290</c:v>
                </c:pt>
                <c:pt idx="2192">
                  <c:v>44291</c:v>
                </c:pt>
                <c:pt idx="2193">
                  <c:v>44292</c:v>
                </c:pt>
                <c:pt idx="2194">
                  <c:v>44293</c:v>
                </c:pt>
                <c:pt idx="2195">
                  <c:v>44294</c:v>
                </c:pt>
                <c:pt idx="2196">
                  <c:v>44295</c:v>
                </c:pt>
                <c:pt idx="2197">
                  <c:v>44296</c:v>
                </c:pt>
                <c:pt idx="2198">
                  <c:v>44297</c:v>
                </c:pt>
                <c:pt idx="2199">
                  <c:v>44298</c:v>
                </c:pt>
                <c:pt idx="2200">
                  <c:v>44299</c:v>
                </c:pt>
                <c:pt idx="2201">
                  <c:v>44300</c:v>
                </c:pt>
                <c:pt idx="2202">
                  <c:v>44301</c:v>
                </c:pt>
                <c:pt idx="2203">
                  <c:v>44302</c:v>
                </c:pt>
                <c:pt idx="2204">
                  <c:v>44303</c:v>
                </c:pt>
                <c:pt idx="2205">
                  <c:v>44304</c:v>
                </c:pt>
                <c:pt idx="2206">
                  <c:v>44305</c:v>
                </c:pt>
                <c:pt idx="2207">
                  <c:v>44306</c:v>
                </c:pt>
                <c:pt idx="2208">
                  <c:v>44307</c:v>
                </c:pt>
                <c:pt idx="2209">
                  <c:v>44308</c:v>
                </c:pt>
                <c:pt idx="2210">
                  <c:v>44309</c:v>
                </c:pt>
                <c:pt idx="2211">
                  <c:v>44310</c:v>
                </c:pt>
                <c:pt idx="2212">
                  <c:v>44311</c:v>
                </c:pt>
                <c:pt idx="2213">
                  <c:v>44312</c:v>
                </c:pt>
                <c:pt idx="2214">
                  <c:v>44313</c:v>
                </c:pt>
                <c:pt idx="2215">
                  <c:v>44314</c:v>
                </c:pt>
                <c:pt idx="2216">
                  <c:v>44315</c:v>
                </c:pt>
                <c:pt idx="2217">
                  <c:v>44316</c:v>
                </c:pt>
                <c:pt idx="2218">
                  <c:v>44317</c:v>
                </c:pt>
                <c:pt idx="2219">
                  <c:v>44318</c:v>
                </c:pt>
                <c:pt idx="2220">
                  <c:v>44319</c:v>
                </c:pt>
                <c:pt idx="2221">
                  <c:v>44320</c:v>
                </c:pt>
                <c:pt idx="2222">
                  <c:v>44321</c:v>
                </c:pt>
                <c:pt idx="2223">
                  <c:v>44322</c:v>
                </c:pt>
                <c:pt idx="2224">
                  <c:v>44323</c:v>
                </c:pt>
                <c:pt idx="2225">
                  <c:v>44324</c:v>
                </c:pt>
                <c:pt idx="2226">
                  <c:v>44325</c:v>
                </c:pt>
                <c:pt idx="2227">
                  <c:v>44326</c:v>
                </c:pt>
                <c:pt idx="2228">
                  <c:v>44327</c:v>
                </c:pt>
                <c:pt idx="2229">
                  <c:v>44328</c:v>
                </c:pt>
                <c:pt idx="2230">
                  <c:v>44329</c:v>
                </c:pt>
                <c:pt idx="2231">
                  <c:v>44330</c:v>
                </c:pt>
                <c:pt idx="2232">
                  <c:v>44331</c:v>
                </c:pt>
                <c:pt idx="2233">
                  <c:v>44332</c:v>
                </c:pt>
                <c:pt idx="2234">
                  <c:v>44333</c:v>
                </c:pt>
                <c:pt idx="2235">
                  <c:v>44334</c:v>
                </c:pt>
                <c:pt idx="2236">
                  <c:v>44335</c:v>
                </c:pt>
                <c:pt idx="2237">
                  <c:v>44336</c:v>
                </c:pt>
                <c:pt idx="2238">
                  <c:v>44337</c:v>
                </c:pt>
                <c:pt idx="2239">
                  <c:v>44338</c:v>
                </c:pt>
                <c:pt idx="2240">
                  <c:v>44339</c:v>
                </c:pt>
                <c:pt idx="2241">
                  <c:v>44340</c:v>
                </c:pt>
                <c:pt idx="2242">
                  <c:v>44341</c:v>
                </c:pt>
                <c:pt idx="2243">
                  <c:v>44342</c:v>
                </c:pt>
                <c:pt idx="2244">
                  <c:v>44343</c:v>
                </c:pt>
                <c:pt idx="2245">
                  <c:v>44344</c:v>
                </c:pt>
                <c:pt idx="2246">
                  <c:v>44345</c:v>
                </c:pt>
                <c:pt idx="2247">
                  <c:v>44346</c:v>
                </c:pt>
                <c:pt idx="2248">
                  <c:v>44347</c:v>
                </c:pt>
                <c:pt idx="2249">
                  <c:v>44348</c:v>
                </c:pt>
                <c:pt idx="2250">
                  <c:v>44349</c:v>
                </c:pt>
                <c:pt idx="2251">
                  <c:v>44350</c:v>
                </c:pt>
                <c:pt idx="2252">
                  <c:v>44351</c:v>
                </c:pt>
                <c:pt idx="2253">
                  <c:v>44352</c:v>
                </c:pt>
                <c:pt idx="2254">
                  <c:v>44353</c:v>
                </c:pt>
                <c:pt idx="2255">
                  <c:v>44354</c:v>
                </c:pt>
                <c:pt idx="2256">
                  <c:v>44355</c:v>
                </c:pt>
                <c:pt idx="2257">
                  <c:v>44356</c:v>
                </c:pt>
                <c:pt idx="2258">
                  <c:v>44357</c:v>
                </c:pt>
                <c:pt idx="2259">
                  <c:v>44358</c:v>
                </c:pt>
                <c:pt idx="2260">
                  <c:v>44359</c:v>
                </c:pt>
                <c:pt idx="2261">
                  <c:v>44360</c:v>
                </c:pt>
                <c:pt idx="2262">
                  <c:v>44361</c:v>
                </c:pt>
                <c:pt idx="2263">
                  <c:v>44362</c:v>
                </c:pt>
                <c:pt idx="2264">
                  <c:v>44363</c:v>
                </c:pt>
                <c:pt idx="2265">
                  <c:v>44364</c:v>
                </c:pt>
                <c:pt idx="2266">
                  <c:v>44365</c:v>
                </c:pt>
                <c:pt idx="2267">
                  <c:v>44366</c:v>
                </c:pt>
                <c:pt idx="2268">
                  <c:v>44367</c:v>
                </c:pt>
                <c:pt idx="2269">
                  <c:v>44368</c:v>
                </c:pt>
                <c:pt idx="2270">
                  <c:v>44369</c:v>
                </c:pt>
                <c:pt idx="2271">
                  <c:v>44370</c:v>
                </c:pt>
                <c:pt idx="2272">
                  <c:v>44371</c:v>
                </c:pt>
                <c:pt idx="2273">
                  <c:v>44372</c:v>
                </c:pt>
                <c:pt idx="2274">
                  <c:v>44373</c:v>
                </c:pt>
                <c:pt idx="2275">
                  <c:v>44374</c:v>
                </c:pt>
                <c:pt idx="2276">
                  <c:v>44375</c:v>
                </c:pt>
                <c:pt idx="2277">
                  <c:v>44376</c:v>
                </c:pt>
                <c:pt idx="2278">
                  <c:v>44377</c:v>
                </c:pt>
                <c:pt idx="2279">
                  <c:v>44378</c:v>
                </c:pt>
                <c:pt idx="2280">
                  <c:v>44379</c:v>
                </c:pt>
                <c:pt idx="2281">
                  <c:v>44380</c:v>
                </c:pt>
                <c:pt idx="2282">
                  <c:v>44381</c:v>
                </c:pt>
                <c:pt idx="2283">
                  <c:v>44382</c:v>
                </c:pt>
                <c:pt idx="2284">
                  <c:v>44383</c:v>
                </c:pt>
                <c:pt idx="2285">
                  <c:v>44384</c:v>
                </c:pt>
                <c:pt idx="2286">
                  <c:v>44385</c:v>
                </c:pt>
                <c:pt idx="2287">
                  <c:v>44386</c:v>
                </c:pt>
                <c:pt idx="2288">
                  <c:v>44387</c:v>
                </c:pt>
                <c:pt idx="2289">
                  <c:v>44388</c:v>
                </c:pt>
                <c:pt idx="2290">
                  <c:v>44389</c:v>
                </c:pt>
                <c:pt idx="2291">
                  <c:v>44390</c:v>
                </c:pt>
                <c:pt idx="2292">
                  <c:v>44391</c:v>
                </c:pt>
                <c:pt idx="2293">
                  <c:v>44392</c:v>
                </c:pt>
                <c:pt idx="2294">
                  <c:v>44393</c:v>
                </c:pt>
                <c:pt idx="2295">
                  <c:v>44394</c:v>
                </c:pt>
                <c:pt idx="2296">
                  <c:v>44395</c:v>
                </c:pt>
                <c:pt idx="2297">
                  <c:v>44396</c:v>
                </c:pt>
                <c:pt idx="2298">
                  <c:v>44397</c:v>
                </c:pt>
                <c:pt idx="2299">
                  <c:v>44398</c:v>
                </c:pt>
                <c:pt idx="2300">
                  <c:v>44399</c:v>
                </c:pt>
                <c:pt idx="2301">
                  <c:v>44400</c:v>
                </c:pt>
                <c:pt idx="2302">
                  <c:v>44401</c:v>
                </c:pt>
                <c:pt idx="2303">
                  <c:v>44402</c:v>
                </c:pt>
                <c:pt idx="2304">
                  <c:v>44403</c:v>
                </c:pt>
                <c:pt idx="2305">
                  <c:v>44404</c:v>
                </c:pt>
                <c:pt idx="2306">
                  <c:v>44405</c:v>
                </c:pt>
                <c:pt idx="2307">
                  <c:v>44406</c:v>
                </c:pt>
                <c:pt idx="2308">
                  <c:v>44407</c:v>
                </c:pt>
                <c:pt idx="2309">
                  <c:v>44408</c:v>
                </c:pt>
                <c:pt idx="2310">
                  <c:v>44409</c:v>
                </c:pt>
                <c:pt idx="2311">
                  <c:v>44410</c:v>
                </c:pt>
                <c:pt idx="2312">
                  <c:v>44411</c:v>
                </c:pt>
                <c:pt idx="2313">
                  <c:v>44412</c:v>
                </c:pt>
                <c:pt idx="2314">
                  <c:v>44413</c:v>
                </c:pt>
                <c:pt idx="2315">
                  <c:v>44414</c:v>
                </c:pt>
                <c:pt idx="2316">
                  <c:v>44415</c:v>
                </c:pt>
                <c:pt idx="2317">
                  <c:v>44416</c:v>
                </c:pt>
                <c:pt idx="2318">
                  <c:v>44417</c:v>
                </c:pt>
                <c:pt idx="2319">
                  <c:v>44418</c:v>
                </c:pt>
                <c:pt idx="2320">
                  <c:v>44419</c:v>
                </c:pt>
                <c:pt idx="2321">
                  <c:v>44420</c:v>
                </c:pt>
                <c:pt idx="2322">
                  <c:v>44421</c:v>
                </c:pt>
                <c:pt idx="2323">
                  <c:v>44422</c:v>
                </c:pt>
                <c:pt idx="2324">
                  <c:v>44423</c:v>
                </c:pt>
                <c:pt idx="2325">
                  <c:v>44424</c:v>
                </c:pt>
                <c:pt idx="2326">
                  <c:v>44425</c:v>
                </c:pt>
                <c:pt idx="2327">
                  <c:v>44426</c:v>
                </c:pt>
                <c:pt idx="2328">
                  <c:v>44427</c:v>
                </c:pt>
                <c:pt idx="2329">
                  <c:v>44428</c:v>
                </c:pt>
                <c:pt idx="2330">
                  <c:v>44429</c:v>
                </c:pt>
                <c:pt idx="2331">
                  <c:v>44430</c:v>
                </c:pt>
                <c:pt idx="2332">
                  <c:v>44431</c:v>
                </c:pt>
                <c:pt idx="2333">
                  <c:v>44432</c:v>
                </c:pt>
                <c:pt idx="2334">
                  <c:v>44433</c:v>
                </c:pt>
                <c:pt idx="2335">
                  <c:v>44434</c:v>
                </c:pt>
                <c:pt idx="2336">
                  <c:v>44435</c:v>
                </c:pt>
                <c:pt idx="2337">
                  <c:v>44436</c:v>
                </c:pt>
                <c:pt idx="2338">
                  <c:v>44437</c:v>
                </c:pt>
                <c:pt idx="2339">
                  <c:v>44438</c:v>
                </c:pt>
                <c:pt idx="2340">
                  <c:v>44439</c:v>
                </c:pt>
                <c:pt idx="2341">
                  <c:v>44440</c:v>
                </c:pt>
                <c:pt idx="2342">
                  <c:v>44441</c:v>
                </c:pt>
                <c:pt idx="2343">
                  <c:v>44442</c:v>
                </c:pt>
                <c:pt idx="2344">
                  <c:v>44443</c:v>
                </c:pt>
                <c:pt idx="2345">
                  <c:v>44444</c:v>
                </c:pt>
                <c:pt idx="2346">
                  <c:v>44445</c:v>
                </c:pt>
                <c:pt idx="2347">
                  <c:v>44446</c:v>
                </c:pt>
                <c:pt idx="2348">
                  <c:v>44447</c:v>
                </c:pt>
                <c:pt idx="2349">
                  <c:v>44448</c:v>
                </c:pt>
                <c:pt idx="2350">
                  <c:v>44449</c:v>
                </c:pt>
                <c:pt idx="2351">
                  <c:v>44450</c:v>
                </c:pt>
                <c:pt idx="2352">
                  <c:v>44451</c:v>
                </c:pt>
                <c:pt idx="2353">
                  <c:v>44452</c:v>
                </c:pt>
                <c:pt idx="2354">
                  <c:v>44453</c:v>
                </c:pt>
                <c:pt idx="2355">
                  <c:v>44454</c:v>
                </c:pt>
                <c:pt idx="2356">
                  <c:v>44455</c:v>
                </c:pt>
                <c:pt idx="2357">
                  <c:v>44456</c:v>
                </c:pt>
                <c:pt idx="2358">
                  <c:v>44457</c:v>
                </c:pt>
                <c:pt idx="2359">
                  <c:v>44458</c:v>
                </c:pt>
                <c:pt idx="2360">
                  <c:v>44459</c:v>
                </c:pt>
                <c:pt idx="2361">
                  <c:v>44460</c:v>
                </c:pt>
                <c:pt idx="2362">
                  <c:v>44461</c:v>
                </c:pt>
                <c:pt idx="2363">
                  <c:v>44462</c:v>
                </c:pt>
                <c:pt idx="2364">
                  <c:v>44463</c:v>
                </c:pt>
                <c:pt idx="2365">
                  <c:v>44464</c:v>
                </c:pt>
                <c:pt idx="2366">
                  <c:v>44465</c:v>
                </c:pt>
                <c:pt idx="2367">
                  <c:v>44466</c:v>
                </c:pt>
                <c:pt idx="2368">
                  <c:v>44467</c:v>
                </c:pt>
                <c:pt idx="2369">
                  <c:v>44468</c:v>
                </c:pt>
                <c:pt idx="2370">
                  <c:v>44469</c:v>
                </c:pt>
                <c:pt idx="2371">
                  <c:v>44470</c:v>
                </c:pt>
                <c:pt idx="2372">
                  <c:v>44471</c:v>
                </c:pt>
                <c:pt idx="2373">
                  <c:v>44472</c:v>
                </c:pt>
                <c:pt idx="2374">
                  <c:v>44473</c:v>
                </c:pt>
                <c:pt idx="2375">
                  <c:v>44474</c:v>
                </c:pt>
                <c:pt idx="2376">
                  <c:v>44475</c:v>
                </c:pt>
                <c:pt idx="2377">
                  <c:v>44476</c:v>
                </c:pt>
                <c:pt idx="2378">
                  <c:v>44477</c:v>
                </c:pt>
                <c:pt idx="2379">
                  <c:v>44478</c:v>
                </c:pt>
                <c:pt idx="2380">
                  <c:v>44479</c:v>
                </c:pt>
                <c:pt idx="2381">
                  <c:v>44480</c:v>
                </c:pt>
                <c:pt idx="2382">
                  <c:v>44481</c:v>
                </c:pt>
                <c:pt idx="2383">
                  <c:v>44482</c:v>
                </c:pt>
                <c:pt idx="2384">
                  <c:v>44483</c:v>
                </c:pt>
                <c:pt idx="2385">
                  <c:v>44484</c:v>
                </c:pt>
                <c:pt idx="2386">
                  <c:v>44485</c:v>
                </c:pt>
                <c:pt idx="2387">
                  <c:v>44486</c:v>
                </c:pt>
                <c:pt idx="2388">
                  <c:v>44487</c:v>
                </c:pt>
                <c:pt idx="2389">
                  <c:v>44488</c:v>
                </c:pt>
                <c:pt idx="2390">
                  <c:v>44489</c:v>
                </c:pt>
                <c:pt idx="2391">
                  <c:v>44490</c:v>
                </c:pt>
                <c:pt idx="2392">
                  <c:v>44491</c:v>
                </c:pt>
                <c:pt idx="2393">
                  <c:v>44492</c:v>
                </c:pt>
                <c:pt idx="2394">
                  <c:v>44493</c:v>
                </c:pt>
                <c:pt idx="2395">
                  <c:v>44494</c:v>
                </c:pt>
                <c:pt idx="2396">
                  <c:v>44495</c:v>
                </c:pt>
                <c:pt idx="2397">
                  <c:v>44496</c:v>
                </c:pt>
                <c:pt idx="2398">
                  <c:v>44497</c:v>
                </c:pt>
                <c:pt idx="2399">
                  <c:v>44498</c:v>
                </c:pt>
                <c:pt idx="2400">
                  <c:v>44499</c:v>
                </c:pt>
                <c:pt idx="2401">
                  <c:v>44500</c:v>
                </c:pt>
                <c:pt idx="2402">
                  <c:v>44501</c:v>
                </c:pt>
                <c:pt idx="2403">
                  <c:v>44502</c:v>
                </c:pt>
                <c:pt idx="2404">
                  <c:v>44503</c:v>
                </c:pt>
                <c:pt idx="2405">
                  <c:v>44504</c:v>
                </c:pt>
                <c:pt idx="2406">
                  <c:v>44505</c:v>
                </c:pt>
                <c:pt idx="2407">
                  <c:v>44506</c:v>
                </c:pt>
                <c:pt idx="2408">
                  <c:v>44507</c:v>
                </c:pt>
                <c:pt idx="2409">
                  <c:v>44508</c:v>
                </c:pt>
                <c:pt idx="2410">
                  <c:v>44509</c:v>
                </c:pt>
                <c:pt idx="2411">
                  <c:v>44510</c:v>
                </c:pt>
                <c:pt idx="2412">
                  <c:v>44511</c:v>
                </c:pt>
                <c:pt idx="2413">
                  <c:v>44512</c:v>
                </c:pt>
                <c:pt idx="2414">
                  <c:v>44513</c:v>
                </c:pt>
                <c:pt idx="2415">
                  <c:v>44514</c:v>
                </c:pt>
                <c:pt idx="2416">
                  <c:v>44515</c:v>
                </c:pt>
                <c:pt idx="2417">
                  <c:v>44516</c:v>
                </c:pt>
                <c:pt idx="2418">
                  <c:v>44517</c:v>
                </c:pt>
                <c:pt idx="2419">
                  <c:v>44518</c:v>
                </c:pt>
                <c:pt idx="2420">
                  <c:v>44519</c:v>
                </c:pt>
                <c:pt idx="2421">
                  <c:v>44520</c:v>
                </c:pt>
                <c:pt idx="2422">
                  <c:v>44521</c:v>
                </c:pt>
                <c:pt idx="2423">
                  <c:v>44522</c:v>
                </c:pt>
                <c:pt idx="2424">
                  <c:v>44523</c:v>
                </c:pt>
                <c:pt idx="2425">
                  <c:v>44524</c:v>
                </c:pt>
                <c:pt idx="2426">
                  <c:v>44525</c:v>
                </c:pt>
                <c:pt idx="2427">
                  <c:v>44526</c:v>
                </c:pt>
                <c:pt idx="2428">
                  <c:v>44527</c:v>
                </c:pt>
                <c:pt idx="2429">
                  <c:v>44528</c:v>
                </c:pt>
                <c:pt idx="2430">
                  <c:v>44529</c:v>
                </c:pt>
                <c:pt idx="2431">
                  <c:v>44530</c:v>
                </c:pt>
                <c:pt idx="2432">
                  <c:v>44531</c:v>
                </c:pt>
                <c:pt idx="2433">
                  <c:v>44532</c:v>
                </c:pt>
                <c:pt idx="2434">
                  <c:v>44533</c:v>
                </c:pt>
                <c:pt idx="2435">
                  <c:v>44534</c:v>
                </c:pt>
                <c:pt idx="2436">
                  <c:v>44535</c:v>
                </c:pt>
                <c:pt idx="2437">
                  <c:v>44536</c:v>
                </c:pt>
                <c:pt idx="2438">
                  <c:v>44537</c:v>
                </c:pt>
                <c:pt idx="2439">
                  <c:v>44538</c:v>
                </c:pt>
                <c:pt idx="2440">
                  <c:v>44539</c:v>
                </c:pt>
                <c:pt idx="2441">
                  <c:v>44540</c:v>
                </c:pt>
                <c:pt idx="2442">
                  <c:v>44541</c:v>
                </c:pt>
                <c:pt idx="2443">
                  <c:v>44542</c:v>
                </c:pt>
                <c:pt idx="2444">
                  <c:v>44543</c:v>
                </c:pt>
                <c:pt idx="2445">
                  <c:v>44544</c:v>
                </c:pt>
                <c:pt idx="2446">
                  <c:v>44545</c:v>
                </c:pt>
                <c:pt idx="2447">
                  <c:v>44546</c:v>
                </c:pt>
                <c:pt idx="2448">
                  <c:v>44547</c:v>
                </c:pt>
                <c:pt idx="2449">
                  <c:v>44548</c:v>
                </c:pt>
                <c:pt idx="2450">
                  <c:v>44549</c:v>
                </c:pt>
                <c:pt idx="2451">
                  <c:v>44550</c:v>
                </c:pt>
                <c:pt idx="2452">
                  <c:v>44551</c:v>
                </c:pt>
                <c:pt idx="2453">
                  <c:v>44552</c:v>
                </c:pt>
                <c:pt idx="2454">
                  <c:v>44553</c:v>
                </c:pt>
                <c:pt idx="2455">
                  <c:v>44554</c:v>
                </c:pt>
                <c:pt idx="2456">
                  <c:v>44555</c:v>
                </c:pt>
                <c:pt idx="2457">
                  <c:v>44556</c:v>
                </c:pt>
                <c:pt idx="2458">
                  <c:v>44557</c:v>
                </c:pt>
                <c:pt idx="2459">
                  <c:v>44558</c:v>
                </c:pt>
                <c:pt idx="2460">
                  <c:v>44559</c:v>
                </c:pt>
                <c:pt idx="2461">
                  <c:v>44560</c:v>
                </c:pt>
                <c:pt idx="2462">
                  <c:v>44561</c:v>
                </c:pt>
                <c:pt idx="2463">
                  <c:v>44562</c:v>
                </c:pt>
                <c:pt idx="2464">
                  <c:v>44563</c:v>
                </c:pt>
                <c:pt idx="2465">
                  <c:v>44564</c:v>
                </c:pt>
                <c:pt idx="2466">
                  <c:v>44565</c:v>
                </c:pt>
                <c:pt idx="2467">
                  <c:v>44566</c:v>
                </c:pt>
                <c:pt idx="2468">
                  <c:v>44567</c:v>
                </c:pt>
                <c:pt idx="2469">
                  <c:v>44568</c:v>
                </c:pt>
                <c:pt idx="2470">
                  <c:v>44569</c:v>
                </c:pt>
                <c:pt idx="2471">
                  <c:v>44570</c:v>
                </c:pt>
                <c:pt idx="2472">
                  <c:v>44571</c:v>
                </c:pt>
                <c:pt idx="2473">
                  <c:v>44572</c:v>
                </c:pt>
                <c:pt idx="2474">
                  <c:v>44573</c:v>
                </c:pt>
                <c:pt idx="2475">
                  <c:v>44574</c:v>
                </c:pt>
                <c:pt idx="2476">
                  <c:v>44575</c:v>
                </c:pt>
                <c:pt idx="2477">
                  <c:v>44576</c:v>
                </c:pt>
                <c:pt idx="2478">
                  <c:v>44577</c:v>
                </c:pt>
                <c:pt idx="2479">
                  <c:v>44578</c:v>
                </c:pt>
                <c:pt idx="2480">
                  <c:v>44579</c:v>
                </c:pt>
                <c:pt idx="2481">
                  <c:v>44580</c:v>
                </c:pt>
                <c:pt idx="2482">
                  <c:v>44581</c:v>
                </c:pt>
                <c:pt idx="2483">
                  <c:v>44582</c:v>
                </c:pt>
                <c:pt idx="2484">
                  <c:v>44583</c:v>
                </c:pt>
                <c:pt idx="2485">
                  <c:v>44584</c:v>
                </c:pt>
                <c:pt idx="2486">
                  <c:v>44585</c:v>
                </c:pt>
                <c:pt idx="2487">
                  <c:v>44586</c:v>
                </c:pt>
                <c:pt idx="2488">
                  <c:v>44587</c:v>
                </c:pt>
                <c:pt idx="2489">
                  <c:v>44588</c:v>
                </c:pt>
                <c:pt idx="2490">
                  <c:v>44589</c:v>
                </c:pt>
                <c:pt idx="2491">
                  <c:v>44590</c:v>
                </c:pt>
                <c:pt idx="2492">
                  <c:v>44591</c:v>
                </c:pt>
                <c:pt idx="2493">
                  <c:v>44592</c:v>
                </c:pt>
                <c:pt idx="2494">
                  <c:v>44593</c:v>
                </c:pt>
                <c:pt idx="2495">
                  <c:v>44594</c:v>
                </c:pt>
                <c:pt idx="2496">
                  <c:v>44595</c:v>
                </c:pt>
                <c:pt idx="2497">
                  <c:v>44596</c:v>
                </c:pt>
                <c:pt idx="2498">
                  <c:v>44597</c:v>
                </c:pt>
                <c:pt idx="2499">
                  <c:v>44598</c:v>
                </c:pt>
                <c:pt idx="2500">
                  <c:v>44599</c:v>
                </c:pt>
                <c:pt idx="2501">
                  <c:v>44600</c:v>
                </c:pt>
                <c:pt idx="2502">
                  <c:v>44601</c:v>
                </c:pt>
                <c:pt idx="2503">
                  <c:v>44602</c:v>
                </c:pt>
                <c:pt idx="2504">
                  <c:v>44603</c:v>
                </c:pt>
                <c:pt idx="2505">
                  <c:v>44604</c:v>
                </c:pt>
                <c:pt idx="2506">
                  <c:v>44605</c:v>
                </c:pt>
                <c:pt idx="2507">
                  <c:v>44606</c:v>
                </c:pt>
                <c:pt idx="2508">
                  <c:v>44607</c:v>
                </c:pt>
                <c:pt idx="2509">
                  <c:v>44608</c:v>
                </c:pt>
                <c:pt idx="2510">
                  <c:v>44609</c:v>
                </c:pt>
                <c:pt idx="2511">
                  <c:v>44610</c:v>
                </c:pt>
                <c:pt idx="2512">
                  <c:v>44611</c:v>
                </c:pt>
                <c:pt idx="2513">
                  <c:v>44612</c:v>
                </c:pt>
                <c:pt idx="2514">
                  <c:v>44613</c:v>
                </c:pt>
                <c:pt idx="2515">
                  <c:v>44614</c:v>
                </c:pt>
                <c:pt idx="2516">
                  <c:v>44615</c:v>
                </c:pt>
                <c:pt idx="2517">
                  <c:v>44616</c:v>
                </c:pt>
                <c:pt idx="2518">
                  <c:v>44617</c:v>
                </c:pt>
                <c:pt idx="2519">
                  <c:v>44618</c:v>
                </c:pt>
                <c:pt idx="2520">
                  <c:v>44619</c:v>
                </c:pt>
                <c:pt idx="2521">
                  <c:v>44620</c:v>
                </c:pt>
                <c:pt idx="2522">
                  <c:v>44621</c:v>
                </c:pt>
                <c:pt idx="2523">
                  <c:v>44622</c:v>
                </c:pt>
                <c:pt idx="2524">
                  <c:v>44623</c:v>
                </c:pt>
                <c:pt idx="2525">
                  <c:v>44624</c:v>
                </c:pt>
                <c:pt idx="2526">
                  <c:v>44625</c:v>
                </c:pt>
                <c:pt idx="2527">
                  <c:v>44626</c:v>
                </c:pt>
                <c:pt idx="2528">
                  <c:v>44627</c:v>
                </c:pt>
                <c:pt idx="2529">
                  <c:v>44628</c:v>
                </c:pt>
                <c:pt idx="2530">
                  <c:v>44629</c:v>
                </c:pt>
                <c:pt idx="2531">
                  <c:v>44630</c:v>
                </c:pt>
                <c:pt idx="2532">
                  <c:v>44631</c:v>
                </c:pt>
                <c:pt idx="2533">
                  <c:v>44632</c:v>
                </c:pt>
                <c:pt idx="2534">
                  <c:v>44633</c:v>
                </c:pt>
                <c:pt idx="2535">
                  <c:v>44634</c:v>
                </c:pt>
                <c:pt idx="2536">
                  <c:v>44635</c:v>
                </c:pt>
                <c:pt idx="2537">
                  <c:v>44636</c:v>
                </c:pt>
                <c:pt idx="2538">
                  <c:v>44637</c:v>
                </c:pt>
                <c:pt idx="2539">
                  <c:v>44638</c:v>
                </c:pt>
                <c:pt idx="2540">
                  <c:v>44639</c:v>
                </c:pt>
                <c:pt idx="2541">
                  <c:v>44640</c:v>
                </c:pt>
                <c:pt idx="2542">
                  <c:v>44641</c:v>
                </c:pt>
                <c:pt idx="2543">
                  <c:v>44642</c:v>
                </c:pt>
                <c:pt idx="2544">
                  <c:v>44643</c:v>
                </c:pt>
                <c:pt idx="2545">
                  <c:v>44644</c:v>
                </c:pt>
                <c:pt idx="2546">
                  <c:v>44645</c:v>
                </c:pt>
                <c:pt idx="2547">
                  <c:v>44646</c:v>
                </c:pt>
                <c:pt idx="2548">
                  <c:v>44647</c:v>
                </c:pt>
                <c:pt idx="2549">
                  <c:v>44648</c:v>
                </c:pt>
                <c:pt idx="2550">
                  <c:v>44649</c:v>
                </c:pt>
                <c:pt idx="2551">
                  <c:v>44650</c:v>
                </c:pt>
                <c:pt idx="2552">
                  <c:v>44651</c:v>
                </c:pt>
                <c:pt idx="2553" formatCode="d/m/yy;@">
                  <c:v>44652</c:v>
                </c:pt>
                <c:pt idx="2554" formatCode="d/m/yy;@">
                  <c:v>44653</c:v>
                </c:pt>
                <c:pt idx="2555" formatCode="d/m/yy;@">
                  <c:v>44654</c:v>
                </c:pt>
                <c:pt idx="2556" formatCode="d/m/yy;@">
                  <c:v>44655</c:v>
                </c:pt>
                <c:pt idx="2557" formatCode="d/m/yy;@">
                  <c:v>44656</c:v>
                </c:pt>
                <c:pt idx="2558" formatCode="d/m/yy;@">
                  <c:v>44657</c:v>
                </c:pt>
                <c:pt idx="2559" formatCode="d/m/yy;@">
                  <c:v>44658</c:v>
                </c:pt>
                <c:pt idx="2560" formatCode="d/m/yy;@">
                  <c:v>44659</c:v>
                </c:pt>
                <c:pt idx="2561" formatCode="d/m/yy;@">
                  <c:v>44660</c:v>
                </c:pt>
                <c:pt idx="2562" formatCode="d/m/yy;@">
                  <c:v>44661</c:v>
                </c:pt>
                <c:pt idx="2563" formatCode="d/m/yy;@">
                  <c:v>44662</c:v>
                </c:pt>
                <c:pt idx="2564" formatCode="d/m/yy;@">
                  <c:v>44663</c:v>
                </c:pt>
                <c:pt idx="2565" formatCode="d/m/yy;@">
                  <c:v>44664</c:v>
                </c:pt>
                <c:pt idx="2566" formatCode="d/m/yy;@">
                  <c:v>44665</c:v>
                </c:pt>
                <c:pt idx="2567" formatCode="d/m/yy;@">
                  <c:v>44666</c:v>
                </c:pt>
                <c:pt idx="2568" formatCode="d/m/yy;@">
                  <c:v>44667</c:v>
                </c:pt>
                <c:pt idx="2569" formatCode="d/m/yy;@">
                  <c:v>44668</c:v>
                </c:pt>
                <c:pt idx="2570" formatCode="d/m/yy;@">
                  <c:v>44669</c:v>
                </c:pt>
                <c:pt idx="2571" formatCode="d/m/yy;@">
                  <c:v>44670</c:v>
                </c:pt>
                <c:pt idx="2572" formatCode="d/m/yy;@">
                  <c:v>44671</c:v>
                </c:pt>
                <c:pt idx="2573" formatCode="d/m/yy;@">
                  <c:v>44672</c:v>
                </c:pt>
                <c:pt idx="2574" formatCode="d/m/yy;@">
                  <c:v>44673</c:v>
                </c:pt>
                <c:pt idx="2575" formatCode="d/m/yy;@">
                  <c:v>44674</c:v>
                </c:pt>
                <c:pt idx="2576" formatCode="d/m/yy;@">
                  <c:v>44675</c:v>
                </c:pt>
                <c:pt idx="2577" formatCode="d/m/yy;@">
                  <c:v>44676</c:v>
                </c:pt>
                <c:pt idx="2578" formatCode="d/m/yy;@">
                  <c:v>44677</c:v>
                </c:pt>
                <c:pt idx="2579" formatCode="d/m/yy;@">
                  <c:v>44678</c:v>
                </c:pt>
                <c:pt idx="2580" formatCode="d/m/yy;@">
                  <c:v>44679</c:v>
                </c:pt>
                <c:pt idx="2581" formatCode="d/m/yy;@">
                  <c:v>44680</c:v>
                </c:pt>
                <c:pt idx="2582" formatCode="d/m/yy;@">
                  <c:v>44681</c:v>
                </c:pt>
                <c:pt idx="2583" formatCode="d/m/yy;@">
                  <c:v>44682</c:v>
                </c:pt>
                <c:pt idx="2584" formatCode="d/m/yy;@">
                  <c:v>44683</c:v>
                </c:pt>
                <c:pt idx="2585" formatCode="d/m/yy;@">
                  <c:v>44684</c:v>
                </c:pt>
                <c:pt idx="2586" formatCode="d/m/yy;@">
                  <c:v>44685</c:v>
                </c:pt>
                <c:pt idx="2587" formatCode="d/m/yy;@">
                  <c:v>44686</c:v>
                </c:pt>
                <c:pt idx="2588" formatCode="d/m/yy;@">
                  <c:v>44687</c:v>
                </c:pt>
                <c:pt idx="2589" formatCode="d/m/yy;@">
                  <c:v>44688</c:v>
                </c:pt>
                <c:pt idx="2590" formatCode="d/m/yy;@">
                  <c:v>44689</c:v>
                </c:pt>
                <c:pt idx="2591" formatCode="d/m/yy;@">
                  <c:v>44690</c:v>
                </c:pt>
                <c:pt idx="2592" formatCode="d/m/yy;@">
                  <c:v>44691</c:v>
                </c:pt>
                <c:pt idx="2593" formatCode="d/m/yy;@">
                  <c:v>44692</c:v>
                </c:pt>
                <c:pt idx="2594" formatCode="d/m/yy;@">
                  <c:v>44693</c:v>
                </c:pt>
                <c:pt idx="2595" formatCode="d/m/yy;@">
                  <c:v>44694</c:v>
                </c:pt>
                <c:pt idx="2596" formatCode="d/m/yy;@">
                  <c:v>44695</c:v>
                </c:pt>
                <c:pt idx="2597" formatCode="d/m/yy;@">
                  <c:v>44696</c:v>
                </c:pt>
                <c:pt idx="2598" formatCode="d/m/yy;@">
                  <c:v>44697</c:v>
                </c:pt>
                <c:pt idx="2599" formatCode="d/m/yy;@">
                  <c:v>44698</c:v>
                </c:pt>
                <c:pt idx="2600" formatCode="d/m/yy;@">
                  <c:v>44699</c:v>
                </c:pt>
                <c:pt idx="2601" formatCode="d/m/yy;@">
                  <c:v>44700</c:v>
                </c:pt>
                <c:pt idx="2602" formatCode="d/m/yy;@">
                  <c:v>44701</c:v>
                </c:pt>
                <c:pt idx="2603" formatCode="d/m/yy;@">
                  <c:v>44702</c:v>
                </c:pt>
                <c:pt idx="2604" formatCode="d/m/yy;@">
                  <c:v>44703</c:v>
                </c:pt>
                <c:pt idx="2605" formatCode="d/m/yy;@">
                  <c:v>44704</c:v>
                </c:pt>
                <c:pt idx="2606" formatCode="d/m/yy;@">
                  <c:v>44705</c:v>
                </c:pt>
                <c:pt idx="2607" formatCode="d/m/yy;@">
                  <c:v>44706</c:v>
                </c:pt>
                <c:pt idx="2608" formatCode="d/m/yy;@">
                  <c:v>44707</c:v>
                </c:pt>
                <c:pt idx="2609" formatCode="d/m/yy;@">
                  <c:v>44708</c:v>
                </c:pt>
                <c:pt idx="2610" formatCode="d/m/yy;@">
                  <c:v>44709</c:v>
                </c:pt>
                <c:pt idx="2611" formatCode="d/m/yy;@">
                  <c:v>44710</c:v>
                </c:pt>
                <c:pt idx="2612" formatCode="d/m/yy;@">
                  <c:v>44711</c:v>
                </c:pt>
                <c:pt idx="2613" formatCode="d/m/yy;@">
                  <c:v>44712</c:v>
                </c:pt>
                <c:pt idx="2614" formatCode="d/m/yy;@">
                  <c:v>44713</c:v>
                </c:pt>
                <c:pt idx="2615" formatCode="d/m/yy;@">
                  <c:v>44714</c:v>
                </c:pt>
                <c:pt idx="2616" formatCode="d/m/yy;@">
                  <c:v>44715</c:v>
                </c:pt>
                <c:pt idx="2617" formatCode="d/m/yy;@">
                  <c:v>44716</c:v>
                </c:pt>
                <c:pt idx="2618" formatCode="d/m/yy;@">
                  <c:v>44717</c:v>
                </c:pt>
                <c:pt idx="2619" formatCode="d/m/yy;@">
                  <c:v>44718</c:v>
                </c:pt>
                <c:pt idx="2620" formatCode="d/m/yy;@">
                  <c:v>44719</c:v>
                </c:pt>
                <c:pt idx="2621" formatCode="d/m/yy;@">
                  <c:v>44720</c:v>
                </c:pt>
                <c:pt idx="2622" formatCode="d/m/yy;@">
                  <c:v>44721</c:v>
                </c:pt>
                <c:pt idx="2623" formatCode="d/m/yy;@">
                  <c:v>44722</c:v>
                </c:pt>
                <c:pt idx="2624" formatCode="d/m/yy;@">
                  <c:v>44723</c:v>
                </c:pt>
                <c:pt idx="2625" formatCode="d/m/yy;@">
                  <c:v>44724</c:v>
                </c:pt>
                <c:pt idx="2626" formatCode="d/m/yy;@">
                  <c:v>44725</c:v>
                </c:pt>
                <c:pt idx="2627" formatCode="d/m/yy;@">
                  <c:v>44726</c:v>
                </c:pt>
                <c:pt idx="2628" formatCode="d/m/yy;@">
                  <c:v>44727</c:v>
                </c:pt>
                <c:pt idx="2629" formatCode="d/m/yy;@">
                  <c:v>44728</c:v>
                </c:pt>
                <c:pt idx="2630" formatCode="d/m/yy;@">
                  <c:v>44729</c:v>
                </c:pt>
                <c:pt idx="2631" formatCode="d/m/yy;@">
                  <c:v>44730</c:v>
                </c:pt>
                <c:pt idx="2632" formatCode="d/m/yy;@">
                  <c:v>44731</c:v>
                </c:pt>
                <c:pt idx="2633" formatCode="d/m/yy;@">
                  <c:v>44732</c:v>
                </c:pt>
                <c:pt idx="2634" formatCode="d/m/yy;@">
                  <c:v>44733</c:v>
                </c:pt>
                <c:pt idx="2635" formatCode="d/m/yy;@">
                  <c:v>44734</c:v>
                </c:pt>
                <c:pt idx="2636" formatCode="d/m/yy;@">
                  <c:v>44735</c:v>
                </c:pt>
                <c:pt idx="2637" formatCode="d/m/yy;@">
                  <c:v>44736</c:v>
                </c:pt>
                <c:pt idx="2638" formatCode="d/m/yy;@">
                  <c:v>44737</c:v>
                </c:pt>
                <c:pt idx="2639" formatCode="d/m/yy;@">
                  <c:v>44738</c:v>
                </c:pt>
                <c:pt idx="2640" formatCode="d/m/yy;@">
                  <c:v>44739</c:v>
                </c:pt>
                <c:pt idx="2641" formatCode="d/m/yy;@">
                  <c:v>44740</c:v>
                </c:pt>
                <c:pt idx="2642" formatCode="d/m/yy;@">
                  <c:v>44741</c:v>
                </c:pt>
                <c:pt idx="2643" formatCode="d/m/yy;@">
                  <c:v>44742</c:v>
                </c:pt>
                <c:pt idx="2644" formatCode="d/m/yy;@">
                  <c:v>44743</c:v>
                </c:pt>
                <c:pt idx="2645" formatCode="d/m/yy;@">
                  <c:v>44744</c:v>
                </c:pt>
                <c:pt idx="2646" formatCode="d/m/yy;@">
                  <c:v>44745</c:v>
                </c:pt>
                <c:pt idx="2647" formatCode="d/m/yy;@">
                  <c:v>44746</c:v>
                </c:pt>
                <c:pt idx="2648" formatCode="d/m/yy;@">
                  <c:v>44747</c:v>
                </c:pt>
                <c:pt idx="2649" formatCode="d/m/yy;@">
                  <c:v>44748</c:v>
                </c:pt>
                <c:pt idx="2650" formatCode="d/m/yy;@">
                  <c:v>44749</c:v>
                </c:pt>
                <c:pt idx="2651" formatCode="d/m/yy;@">
                  <c:v>44750</c:v>
                </c:pt>
                <c:pt idx="2652" formatCode="d/m/yy;@">
                  <c:v>44751</c:v>
                </c:pt>
                <c:pt idx="2653" formatCode="d/m/yy;@">
                  <c:v>44752</c:v>
                </c:pt>
                <c:pt idx="2654" formatCode="d/m/yy;@">
                  <c:v>44753</c:v>
                </c:pt>
                <c:pt idx="2655" formatCode="d/m/yy;@">
                  <c:v>44754</c:v>
                </c:pt>
                <c:pt idx="2656" formatCode="d/m/yy;@">
                  <c:v>44755</c:v>
                </c:pt>
                <c:pt idx="2657" formatCode="d/m/yy;@">
                  <c:v>44756</c:v>
                </c:pt>
                <c:pt idx="2658" formatCode="d/m/yy;@">
                  <c:v>44757</c:v>
                </c:pt>
                <c:pt idx="2659" formatCode="d/m/yy;@">
                  <c:v>44758</c:v>
                </c:pt>
                <c:pt idx="2660" formatCode="d/m/yy;@">
                  <c:v>44759</c:v>
                </c:pt>
                <c:pt idx="2661" formatCode="d/m/yy;@">
                  <c:v>44760</c:v>
                </c:pt>
                <c:pt idx="2662" formatCode="d/m/yy;@">
                  <c:v>44761</c:v>
                </c:pt>
                <c:pt idx="2663" formatCode="d/m/yy;@">
                  <c:v>44762</c:v>
                </c:pt>
                <c:pt idx="2664" formatCode="d/m/yy;@">
                  <c:v>44763</c:v>
                </c:pt>
                <c:pt idx="2665" formatCode="d/m/yy;@">
                  <c:v>44764</c:v>
                </c:pt>
                <c:pt idx="2666" formatCode="d/m/yy;@">
                  <c:v>44765</c:v>
                </c:pt>
                <c:pt idx="2667" formatCode="d/m/yy;@">
                  <c:v>44766</c:v>
                </c:pt>
                <c:pt idx="2668" formatCode="d/m/yy;@">
                  <c:v>44767</c:v>
                </c:pt>
                <c:pt idx="2669" formatCode="d/m/yy;@">
                  <c:v>44768</c:v>
                </c:pt>
                <c:pt idx="2670" formatCode="d/m/yy;@">
                  <c:v>44769</c:v>
                </c:pt>
                <c:pt idx="2671" formatCode="d/m/yy;@">
                  <c:v>44770</c:v>
                </c:pt>
                <c:pt idx="2672" formatCode="d/m/yy;@">
                  <c:v>44771</c:v>
                </c:pt>
              </c:numCache>
            </c:numRef>
          </c:xVal>
          <c:yVal>
            <c:numRef>
              <c:f>'ds vypočet'!$K$6:$K$2678</c:f>
              <c:numCache>
                <c:formatCode>General</c:formatCode>
                <c:ptCount val="2673"/>
                <c:pt idx="0">
                  <c:v>56.04</c:v>
                </c:pt>
                <c:pt idx="1">
                  <c:v>116.03999999999999</c:v>
                </c:pt>
                <c:pt idx="2">
                  <c:v>164.51999999999998</c:v>
                </c:pt>
                <c:pt idx="3">
                  <c:v>206.15999999999997</c:v>
                </c:pt>
                <c:pt idx="4">
                  <c:v>241.67999999999995</c:v>
                </c:pt>
                <c:pt idx="5">
                  <c:v>272.87999999999994</c:v>
                </c:pt>
                <c:pt idx="6">
                  <c:v>291.83999999999992</c:v>
                </c:pt>
                <c:pt idx="7">
                  <c:v>315.11999999999989</c:v>
                </c:pt>
                <c:pt idx="8">
                  <c:v>346.67999999999989</c:v>
                </c:pt>
                <c:pt idx="9">
                  <c:v>379.31999999999988</c:v>
                </c:pt>
                <c:pt idx="10">
                  <c:v>388.55999999999989</c:v>
                </c:pt>
                <c:pt idx="11">
                  <c:v>403.55999999999989</c:v>
                </c:pt>
                <c:pt idx="12">
                  <c:v>439.43999999999988</c:v>
                </c:pt>
                <c:pt idx="13">
                  <c:v>485.39999999999986</c:v>
                </c:pt>
                <c:pt idx="14">
                  <c:v>524.51999999999987</c:v>
                </c:pt>
                <c:pt idx="15">
                  <c:v>552.4799999999999</c:v>
                </c:pt>
                <c:pt idx="16">
                  <c:v>572.87999999999988</c:v>
                </c:pt>
                <c:pt idx="17">
                  <c:v>605.15999999999985</c:v>
                </c:pt>
                <c:pt idx="18">
                  <c:v>632.39999999999986</c:v>
                </c:pt>
                <c:pt idx="19">
                  <c:v>652.07999999999981</c:v>
                </c:pt>
                <c:pt idx="20">
                  <c:v>666.35999999999979</c:v>
                </c:pt>
                <c:pt idx="21">
                  <c:v>682.43999999999983</c:v>
                </c:pt>
                <c:pt idx="22">
                  <c:v>697.07999999999981</c:v>
                </c:pt>
                <c:pt idx="23">
                  <c:v>739.79999999999984</c:v>
                </c:pt>
                <c:pt idx="24">
                  <c:v>780.3599999999999</c:v>
                </c:pt>
                <c:pt idx="25">
                  <c:v>815.51999999999987</c:v>
                </c:pt>
                <c:pt idx="26">
                  <c:v>848.51999999999987</c:v>
                </c:pt>
                <c:pt idx="27">
                  <c:v>877.91999999999985</c:v>
                </c:pt>
                <c:pt idx="28">
                  <c:v>904.43999999999983</c:v>
                </c:pt>
                <c:pt idx="29">
                  <c:v>914.75999999999988</c:v>
                </c:pt>
                <c:pt idx="30">
                  <c:v>920.75999999999988</c:v>
                </c:pt>
                <c:pt idx="31">
                  <c:v>936.11999999999989</c:v>
                </c:pt>
                <c:pt idx="32">
                  <c:v>954.71999999999991</c:v>
                </c:pt>
                <c:pt idx="33">
                  <c:v>976.19999999999993</c:v>
                </c:pt>
                <c:pt idx="34">
                  <c:v>994.43999999999994</c:v>
                </c:pt>
                <c:pt idx="35">
                  <c:v>1012.68</c:v>
                </c:pt>
                <c:pt idx="36">
                  <c:v>1036.32</c:v>
                </c:pt>
                <c:pt idx="37">
                  <c:v>1043.04</c:v>
                </c:pt>
                <c:pt idx="38">
                  <c:v>1057.68</c:v>
                </c:pt>
                <c:pt idx="39">
                  <c:v>1081.68</c:v>
                </c:pt>
                <c:pt idx="40">
                  <c:v>1108.92</c:v>
                </c:pt>
                <c:pt idx="41">
                  <c:v>1125.3600000000001</c:v>
                </c:pt>
                <c:pt idx="42">
                  <c:v>1145.7600000000002</c:v>
                </c:pt>
                <c:pt idx="43">
                  <c:v>1161.1200000000001</c:v>
                </c:pt>
                <c:pt idx="44">
                  <c:v>1173.96</c:v>
                </c:pt>
                <c:pt idx="45">
                  <c:v>1200.8400000000001</c:v>
                </c:pt>
                <c:pt idx="46">
                  <c:v>1226.6400000000001</c:v>
                </c:pt>
                <c:pt idx="47">
                  <c:v>1248.1200000000001</c:v>
                </c:pt>
                <c:pt idx="48">
                  <c:v>1264.5600000000002</c:v>
                </c:pt>
                <c:pt idx="49">
                  <c:v>1278.8400000000001</c:v>
                </c:pt>
                <c:pt idx="50">
                  <c:v>1290.2400000000002</c:v>
                </c:pt>
                <c:pt idx="51">
                  <c:v>1310.6400000000003</c:v>
                </c:pt>
                <c:pt idx="52">
                  <c:v>1339.6800000000003</c:v>
                </c:pt>
                <c:pt idx="53">
                  <c:v>1359.0000000000002</c:v>
                </c:pt>
                <c:pt idx="54">
                  <c:v>1369.3200000000002</c:v>
                </c:pt>
                <c:pt idx="55">
                  <c:v>1385.7600000000002</c:v>
                </c:pt>
                <c:pt idx="56">
                  <c:v>1401.1200000000001</c:v>
                </c:pt>
                <c:pt idx="57">
                  <c:v>1407.1200000000001</c:v>
                </c:pt>
                <c:pt idx="58">
                  <c:v>1413.1200000000001</c:v>
                </c:pt>
                <c:pt idx="59">
                  <c:v>1419.1200000000001</c:v>
                </c:pt>
                <c:pt idx="60">
                  <c:v>1425.1200000000001</c:v>
                </c:pt>
                <c:pt idx="61">
                  <c:v>1431.1200000000001</c:v>
                </c:pt>
                <c:pt idx="62">
                  <c:v>1437.1200000000001</c:v>
                </c:pt>
                <c:pt idx="63">
                  <c:v>1443.1200000000001</c:v>
                </c:pt>
                <c:pt idx="64">
                  <c:v>1455.6000000000001</c:v>
                </c:pt>
                <c:pt idx="65">
                  <c:v>1480.68</c:v>
                </c:pt>
                <c:pt idx="66">
                  <c:v>1493.16</c:v>
                </c:pt>
                <c:pt idx="67">
                  <c:v>1499.16</c:v>
                </c:pt>
                <c:pt idx="68">
                  <c:v>1505.16</c:v>
                </c:pt>
                <c:pt idx="69">
                  <c:v>1511.16</c:v>
                </c:pt>
                <c:pt idx="70">
                  <c:v>1517.16</c:v>
                </c:pt>
                <c:pt idx="71">
                  <c:v>1523.52</c:v>
                </c:pt>
                <c:pt idx="72">
                  <c:v>1538.52</c:v>
                </c:pt>
                <c:pt idx="73">
                  <c:v>1556.04</c:v>
                </c:pt>
                <c:pt idx="74">
                  <c:v>1569.24</c:v>
                </c:pt>
                <c:pt idx="75">
                  <c:v>1588.56</c:v>
                </c:pt>
                <c:pt idx="76">
                  <c:v>1611.48</c:v>
                </c:pt>
                <c:pt idx="77">
                  <c:v>1629.3600000000001</c:v>
                </c:pt>
                <c:pt idx="78">
                  <c:v>1644.0000000000002</c:v>
                </c:pt>
                <c:pt idx="79">
                  <c:v>1664.7600000000002</c:v>
                </c:pt>
                <c:pt idx="80">
                  <c:v>1685.1600000000003</c:v>
                </c:pt>
                <c:pt idx="81">
                  <c:v>1696.2000000000003</c:v>
                </c:pt>
                <c:pt idx="82">
                  <c:v>1702.2000000000003</c:v>
                </c:pt>
                <c:pt idx="83">
                  <c:v>1708.2000000000003</c:v>
                </c:pt>
                <c:pt idx="84">
                  <c:v>1714.2000000000003</c:v>
                </c:pt>
                <c:pt idx="85">
                  <c:v>1720.2000000000003</c:v>
                </c:pt>
                <c:pt idx="86">
                  <c:v>1726.2000000000003</c:v>
                </c:pt>
                <c:pt idx="87">
                  <c:v>1732.2000000000003</c:v>
                </c:pt>
                <c:pt idx="88">
                  <c:v>1738.2000000000003</c:v>
                </c:pt>
                <c:pt idx="89">
                  <c:v>1744.2000000000003</c:v>
                </c:pt>
                <c:pt idx="90">
                  <c:v>1750.2000000000003</c:v>
                </c:pt>
                <c:pt idx="91">
                  <c:v>1756.2000000000003</c:v>
                </c:pt>
                <c:pt idx="92">
                  <c:v>1762.2000000000003</c:v>
                </c:pt>
                <c:pt idx="93">
                  <c:v>1768.2000000000003</c:v>
                </c:pt>
                <c:pt idx="94">
                  <c:v>1774.2000000000003</c:v>
                </c:pt>
                <c:pt idx="95">
                  <c:v>1780.2000000000003</c:v>
                </c:pt>
                <c:pt idx="96">
                  <c:v>1794.1200000000003</c:v>
                </c:pt>
                <c:pt idx="97">
                  <c:v>1800.1200000000003</c:v>
                </c:pt>
                <c:pt idx="98">
                  <c:v>1806.1200000000003</c:v>
                </c:pt>
                <c:pt idx="99">
                  <c:v>1812.1200000000003</c:v>
                </c:pt>
                <c:pt idx="100">
                  <c:v>1818.1200000000003</c:v>
                </c:pt>
                <c:pt idx="101">
                  <c:v>1824.1200000000003</c:v>
                </c:pt>
                <c:pt idx="102">
                  <c:v>1830.1200000000003</c:v>
                </c:pt>
                <c:pt idx="103">
                  <c:v>1836.1200000000003</c:v>
                </c:pt>
                <c:pt idx="104">
                  <c:v>1842.1200000000003</c:v>
                </c:pt>
                <c:pt idx="105">
                  <c:v>1848.1200000000003</c:v>
                </c:pt>
                <c:pt idx="106">
                  <c:v>1854.1200000000003</c:v>
                </c:pt>
                <c:pt idx="107">
                  <c:v>1860.1200000000003</c:v>
                </c:pt>
                <c:pt idx="108">
                  <c:v>1866.1200000000003</c:v>
                </c:pt>
                <c:pt idx="109">
                  <c:v>1872.1200000000003</c:v>
                </c:pt>
                <c:pt idx="110">
                  <c:v>1878.1200000000003</c:v>
                </c:pt>
                <c:pt idx="111">
                  <c:v>1884.1200000000003</c:v>
                </c:pt>
                <c:pt idx="112">
                  <c:v>1890.1200000000003</c:v>
                </c:pt>
                <c:pt idx="113">
                  <c:v>1896.1200000000003</c:v>
                </c:pt>
                <c:pt idx="114">
                  <c:v>1902.1200000000003</c:v>
                </c:pt>
                <c:pt idx="115">
                  <c:v>1909.2000000000003</c:v>
                </c:pt>
                <c:pt idx="116">
                  <c:v>1918.0800000000004</c:v>
                </c:pt>
                <c:pt idx="117">
                  <c:v>1925.1600000000003</c:v>
                </c:pt>
                <c:pt idx="118">
                  <c:v>1931.1600000000003</c:v>
                </c:pt>
                <c:pt idx="119">
                  <c:v>1937.1600000000003</c:v>
                </c:pt>
                <c:pt idx="120">
                  <c:v>1943.1600000000003</c:v>
                </c:pt>
                <c:pt idx="121">
                  <c:v>1949.1600000000003</c:v>
                </c:pt>
                <c:pt idx="122">
                  <c:v>1955.1600000000003</c:v>
                </c:pt>
                <c:pt idx="123">
                  <c:v>1961.1600000000003</c:v>
                </c:pt>
                <c:pt idx="124">
                  <c:v>1967.1600000000003</c:v>
                </c:pt>
                <c:pt idx="125">
                  <c:v>1973.1600000000003</c:v>
                </c:pt>
                <c:pt idx="126">
                  <c:v>1979.1600000000003</c:v>
                </c:pt>
                <c:pt idx="127">
                  <c:v>1985.1600000000003</c:v>
                </c:pt>
                <c:pt idx="128">
                  <c:v>1991.1600000000003</c:v>
                </c:pt>
                <c:pt idx="129">
                  <c:v>1997.1600000000003</c:v>
                </c:pt>
                <c:pt idx="130">
                  <c:v>2003.1600000000003</c:v>
                </c:pt>
                <c:pt idx="131">
                  <c:v>2009.1600000000003</c:v>
                </c:pt>
                <c:pt idx="132">
                  <c:v>2015.1600000000003</c:v>
                </c:pt>
                <c:pt idx="133">
                  <c:v>2021.1600000000003</c:v>
                </c:pt>
                <c:pt idx="134">
                  <c:v>2027.1600000000003</c:v>
                </c:pt>
                <c:pt idx="135">
                  <c:v>2040.0000000000002</c:v>
                </c:pt>
                <c:pt idx="136">
                  <c:v>2050.6800000000003</c:v>
                </c:pt>
                <c:pt idx="137">
                  <c:v>2056.6800000000003</c:v>
                </c:pt>
                <c:pt idx="138">
                  <c:v>2062.6800000000003</c:v>
                </c:pt>
                <c:pt idx="139">
                  <c:v>2068.6800000000003</c:v>
                </c:pt>
                <c:pt idx="140">
                  <c:v>2074.6800000000003</c:v>
                </c:pt>
                <c:pt idx="141">
                  <c:v>2080.6800000000003</c:v>
                </c:pt>
                <c:pt idx="142">
                  <c:v>2086.6800000000003</c:v>
                </c:pt>
                <c:pt idx="143">
                  <c:v>2092.6800000000003</c:v>
                </c:pt>
                <c:pt idx="144">
                  <c:v>2098.6800000000003</c:v>
                </c:pt>
                <c:pt idx="145">
                  <c:v>2104.6800000000003</c:v>
                </c:pt>
                <c:pt idx="146">
                  <c:v>2110.6800000000003</c:v>
                </c:pt>
                <c:pt idx="147">
                  <c:v>2116.6800000000003</c:v>
                </c:pt>
                <c:pt idx="148">
                  <c:v>2122.6800000000003</c:v>
                </c:pt>
                <c:pt idx="149">
                  <c:v>2128.6800000000003</c:v>
                </c:pt>
                <c:pt idx="150">
                  <c:v>2136.1200000000003</c:v>
                </c:pt>
                <c:pt idx="151">
                  <c:v>2142.84</c:v>
                </c:pt>
                <c:pt idx="152">
                  <c:v>2149.56</c:v>
                </c:pt>
                <c:pt idx="153">
                  <c:v>2163.48</c:v>
                </c:pt>
                <c:pt idx="154">
                  <c:v>2186.4</c:v>
                </c:pt>
                <c:pt idx="155">
                  <c:v>2209.6800000000003</c:v>
                </c:pt>
                <c:pt idx="156">
                  <c:v>2229.7200000000003</c:v>
                </c:pt>
                <c:pt idx="157">
                  <c:v>2251.2000000000003</c:v>
                </c:pt>
                <c:pt idx="158">
                  <c:v>2277.0000000000005</c:v>
                </c:pt>
                <c:pt idx="159">
                  <c:v>2296.3200000000006</c:v>
                </c:pt>
                <c:pt idx="160">
                  <c:v>2309.5200000000004</c:v>
                </c:pt>
                <c:pt idx="161">
                  <c:v>2315.5200000000004</c:v>
                </c:pt>
                <c:pt idx="162">
                  <c:v>2325.8400000000006</c:v>
                </c:pt>
                <c:pt idx="163">
                  <c:v>2334.7200000000007</c:v>
                </c:pt>
                <c:pt idx="164">
                  <c:v>2340.7200000000007</c:v>
                </c:pt>
                <c:pt idx="165">
                  <c:v>2346.7200000000007</c:v>
                </c:pt>
                <c:pt idx="166">
                  <c:v>2357.0400000000009</c:v>
                </c:pt>
                <c:pt idx="167">
                  <c:v>2367.7200000000007</c:v>
                </c:pt>
                <c:pt idx="168">
                  <c:v>2387.0400000000009</c:v>
                </c:pt>
                <c:pt idx="169">
                  <c:v>2407.440000000001</c:v>
                </c:pt>
                <c:pt idx="170">
                  <c:v>2424.6000000000008</c:v>
                </c:pt>
                <c:pt idx="171">
                  <c:v>2444.6400000000008</c:v>
                </c:pt>
                <c:pt idx="172">
                  <c:v>2466.8400000000006</c:v>
                </c:pt>
                <c:pt idx="173">
                  <c:v>2485.0800000000004</c:v>
                </c:pt>
                <c:pt idx="174">
                  <c:v>2501.8800000000006</c:v>
                </c:pt>
                <c:pt idx="175">
                  <c:v>2525.8800000000006</c:v>
                </c:pt>
                <c:pt idx="176">
                  <c:v>2549.5200000000004</c:v>
                </c:pt>
                <c:pt idx="177">
                  <c:v>2576.0400000000004</c:v>
                </c:pt>
                <c:pt idx="178">
                  <c:v>2607.9600000000005</c:v>
                </c:pt>
                <c:pt idx="179">
                  <c:v>2645.2800000000007</c:v>
                </c:pt>
                <c:pt idx="180">
                  <c:v>2673.6000000000008</c:v>
                </c:pt>
                <c:pt idx="181">
                  <c:v>2694.0000000000009</c:v>
                </c:pt>
                <c:pt idx="182">
                  <c:v>2713.3200000000011</c:v>
                </c:pt>
                <c:pt idx="183">
                  <c:v>2730.1200000000013</c:v>
                </c:pt>
                <c:pt idx="184">
                  <c:v>2749.0800000000013</c:v>
                </c:pt>
                <c:pt idx="185">
                  <c:v>2765.1600000000012</c:v>
                </c:pt>
                <c:pt idx="186">
                  <c:v>2785.5600000000013</c:v>
                </c:pt>
                <c:pt idx="187">
                  <c:v>2814.2400000000011</c:v>
                </c:pt>
                <c:pt idx="188">
                  <c:v>2851.2000000000012</c:v>
                </c:pt>
                <c:pt idx="189">
                  <c:v>2898.6000000000013</c:v>
                </c:pt>
                <c:pt idx="190">
                  <c:v>2955.0000000000014</c:v>
                </c:pt>
                <c:pt idx="191">
                  <c:v>3014.6400000000012</c:v>
                </c:pt>
                <c:pt idx="192">
                  <c:v>3064.9200000000014</c:v>
                </c:pt>
                <c:pt idx="193">
                  <c:v>3101.8800000000015</c:v>
                </c:pt>
                <c:pt idx="194">
                  <c:v>3138.4800000000014</c:v>
                </c:pt>
                <c:pt idx="195">
                  <c:v>3181.9200000000014</c:v>
                </c:pt>
                <c:pt idx="196">
                  <c:v>3231.4800000000014</c:v>
                </c:pt>
                <c:pt idx="197">
                  <c:v>3271.3200000000015</c:v>
                </c:pt>
                <c:pt idx="198">
                  <c:v>3315.4800000000014</c:v>
                </c:pt>
                <c:pt idx="199">
                  <c:v>3352.0800000000013</c:v>
                </c:pt>
                <c:pt idx="200">
                  <c:v>3385.8000000000011</c:v>
                </c:pt>
                <c:pt idx="201">
                  <c:v>3416.6400000000012</c:v>
                </c:pt>
                <c:pt idx="202">
                  <c:v>3462.6000000000013</c:v>
                </c:pt>
                <c:pt idx="203">
                  <c:v>3504.9600000000014</c:v>
                </c:pt>
                <c:pt idx="204">
                  <c:v>3540.8400000000015</c:v>
                </c:pt>
                <c:pt idx="205">
                  <c:v>3577.8000000000015</c:v>
                </c:pt>
                <c:pt idx="206">
                  <c:v>3615.8400000000015</c:v>
                </c:pt>
                <c:pt idx="207">
                  <c:v>3652.0800000000013</c:v>
                </c:pt>
                <c:pt idx="208">
                  <c:v>3686.8800000000015</c:v>
                </c:pt>
                <c:pt idx="209">
                  <c:v>3721.6800000000017</c:v>
                </c:pt>
                <c:pt idx="210">
                  <c:v>3762.2400000000016</c:v>
                </c:pt>
                <c:pt idx="211">
                  <c:v>3816.1200000000017</c:v>
                </c:pt>
                <c:pt idx="212">
                  <c:v>3877.5600000000018</c:v>
                </c:pt>
                <c:pt idx="213">
                  <c:v>3939.0000000000018</c:v>
                </c:pt>
                <c:pt idx="214">
                  <c:v>3980.280000000002</c:v>
                </c:pt>
                <c:pt idx="215">
                  <c:v>4018.320000000002</c:v>
                </c:pt>
                <c:pt idx="216">
                  <c:v>4036.9200000000019</c:v>
                </c:pt>
                <c:pt idx="217">
                  <c:v>4055.5200000000018</c:v>
                </c:pt>
                <c:pt idx="218">
                  <c:v>4079.1600000000017</c:v>
                </c:pt>
                <c:pt idx="219">
                  <c:v>4093.0800000000017</c:v>
                </c:pt>
                <c:pt idx="220">
                  <c:v>4113.4800000000014</c:v>
                </c:pt>
                <c:pt idx="221">
                  <c:v>4144.6800000000012</c:v>
                </c:pt>
                <c:pt idx="222">
                  <c:v>4175.1600000000008</c:v>
                </c:pt>
                <c:pt idx="223">
                  <c:v>4216.4400000000005</c:v>
                </c:pt>
                <c:pt idx="224">
                  <c:v>4250.88</c:v>
                </c:pt>
                <c:pt idx="225">
                  <c:v>4275.6000000000004</c:v>
                </c:pt>
                <c:pt idx="226">
                  <c:v>4304.2800000000007</c:v>
                </c:pt>
                <c:pt idx="227">
                  <c:v>4324.3200000000006</c:v>
                </c:pt>
                <c:pt idx="228">
                  <c:v>4351.2000000000007</c:v>
                </c:pt>
                <c:pt idx="229">
                  <c:v>4394.2800000000007</c:v>
                </c:pt>
                <c:pt idx="230">
                  <c:v>4449.9600000000009</c:v>
                </c:pt>
                <c:pt idx="231">
                  <c:v>4514.6400000000012</c:v>
                </c:pt>
                <c:pt idx="232">
                  <c:v>4581.1200000000008</c:v>
                </c:pt>
                <c:pt idx="233">
                  <c:v>4651.5600000000004</c:v>
                </c:pt>
                <c:pt idx="234">
                  <c:v>4717.68</c:v>
                </c:pt>
                <c:pt idx="235">
                  <c:v>4778.04</c:v>
                </c:pt>
                <c:pt idx="236">
                  <c:v>4836.6000000000004</c:v>
                </c:pt>
                <c:pt idx="237">
                  <c:v>4900.2000000000007</c:v>
                </c:pt>
                <c:pt idx="238">
                  <c:v>4952.6400000000003</c:v>
                </c:pt>
                <c:pt idx="239">
                  <c:v>4994.6400000000003</c:v>
                </c:pt>
                <c:pt idx="240">
                  <c:v>5034.4800000000005</c:v>
                </c:pt>
                <c:pt idx="241">
                  <c:v>5072.1600000000008</c:v>
                </c:pt>
                <c:pt idx="242">
                  <c:v>5115.6000000000004</c:v>
                </c:pt>
                <c:pt idx="243">
                  <c:v>5170.5600000000004</c:v>
                </c:pt>
                <c:pt idx="244">
                  <c:v>5220.1200000000008</c:v>
                </c:pt>
                <c:pt idx="245">
                  <c:v>5265.3600000000006</c:v>
                </c:pt>
                <c:pt idx="246">
                  <c:v>5308.8</c:v>
                </c:pt>
                <c:pt idx="247">
                  <c:v>5367.3600000000006</c:v>
                </c:pt>
                <c:pt idx="248">
                  <c:v>5422.68</c:v>
                </c:pt>
                <c:pt idx="249">
                  <c:v>5483.04</c:v>
                </c:pt>
                <c:pt idx="250">
                  <c:v>5543.4</c:v>
                </c:pt>
                <c:pt idx="251">
                  <c:v>5593.32</c:v>
                </c:pt>
                <c:pt idx="252">
                  <c:v>5640.36</c:v>
                </c:pt>
                <c:pt idx="253">
                  <c:v>5703.5999999999995</c:v>
                </c:pt>
                <c:pt idx="254">
                  <c:v>5755.32</c:v>
                </c:pt>
                <c:pt idx="255">
                  <c:v>5806.6799999999994</c:v>
                </c:pt>
                <c:pt idx="256">
                  <c:v>5846.1599999999989</c:v>
                </c:pt>
                <c:pt idx="257">
                  <c:v>5886.7199999999993</c:v>
                </c:pt>
                <c:pt idx="258">
                  <c:v>5925.8399999999992</c:v>
                </c:pt>
                <c:pt idx="259">
                  <c:v>5980.44</c:v>
                </c:pt>
                <c:pt idx="260">
                  <c:v>6030.7199999999993</c:v>
                </c:pt>
                <c:pt idx="261">
                  <c:v>6064.7999999999993</c:v>
                </c:pt>
                <c:pt idx="262">
                  <c:v>6102.119999999999</c:v>
                </c:pt>
                <c:pt idx="263">
                  <c:v>6157.7999999999993</c:v>
                </c:pt>
                <c:pt idx="264">
                  <c:v>6195.119999999999</c:v>
                </c:pt>
                <c:pt idx="265">
                  <c:v>6223.7999999999993</c:v>
                </c:pt>
                <c:pt idx="266">
                  <c:v>6261.48</c:v>
                </c:pt>
                <c:pt idx="267">
                  <c:v>6301.32</c:v>
                </c:pt>
                <c:pt idx="268">
                  <c:v>6356.6399999999994</c:v>
                </c:pt>
                <c:pt idx="269">
                  <c:v>6422.4</c:v>
                </c:pt>
                <c:pt idx="270">
                  <c:v>6498.96</c:v>
                </c:pt>
                <c:pt idx="271">
                  <c:v>6570.48</c:v>
                </c:pt>
                <c:pt idx="272">
                  <c:v>6640.9199999999992</c:v>
                </c:pt>
                <c:pt idx="273">
                  <c:v>6725.0399999999991</c:v>
                </c:pt>
                <c:pt idx="274">
                  <c:v>6815.2799999999988</c:v>
                </c:pt>
                <c:pt idx="275">
                  <c:v>6902.6399999999985</c:v>
                </c:pt>
                <c:pt idx="276">
                  <c:v>6982.4399999999987</c:v>
                </c:pt>
                <c:pt idx="277">
                  <c:v>7055.3999999999987</c:v>
                </c:pt>
                <c:pt idx="278">
                  <c:v>7115.3999999999987</c:v>
                </c:pt>
                <c:pt idx="279">
                  <c:v>7194.119999999999</c:v>
                </c:pt>
                <c:pt idx="280">
                  <c:v>7259.5199999999986</c:v>
                </c:pt>
                <c:pt idx="281">
                  <c:v>7319.1599999999989</c:v>
                </c:pt>
                <c:pt idx="282">
                  <c:v>7370.8799999999992</c:v>
                </c:pt>
                <c:pt idx="283">
                  <c:v>7427.2799999999988</c:v>
                </c:pt>
                <c:pt idx="284">
                  <c:v>7491.9599999999991</c:v>
                </c:pt>
                <c:pt idx="285">
                  <c:v>7556.9999999999991</c:v>
                </c:pt>
                <c:pt idx="286">
                  <c:v>7630.3199999999988</c:v>
                </c:pt>
                <c:pt idx="287">
                  <c:v>7709.3999999999987</c:v>
                </c:pt>
                <c:pt idx="288">
                  <c:v>7802.1599999999989</c:v>
                </c:pt>
                <c:pt idx="289">
                  <c:v>7899.5999999999985</c:v>
                </c:pt>
                <c:pt idx="290">
                  <c:v>7986.9599999999982</c:v>
                </c:pt>
                <c:pt idx="291">
                  <c:v>8074.3199999999979</c:v>
                </c:pt>
                <c:pt idx="292">
                  <c:v>8177.5199999999977</c:v>
                </c:pt>
                <c:pt idx="293">
                  <c:v>8272.4399999999969</c:v>
                </c:pt>
                <c:pt idx="294">
                  <c:v>8331.3599999999969</c:v>
                </c:pt>
                <c:pt idx="295">
                  <c:v>8381.9999999999964</c:v>
                </c:pt>
                <c:pt idx="296">
                  <c:v>8427.2399999999961</c:v>
                </c:pt>
                <c:pt idx="297">
                  <c:v>8459.8799999999956</c:v>
                </c:pt>
                <c:pt idx="298">
                  <c:v>8498.2799999999952</c:v>
                </c:pt>
                <c:pt idx="299">
                  <c:v>8547.8399999999947</c:v>
                </c:pt>
                <c:pt idx="300">
                  <c:v>8590.1999999999953</c:v>
                </c:pt>
                <c:pt idx="301">
                  <c:v>8644.4399999999951</c:v>
                </c:pt>
                <c:pt idx="302">
                  <c:v>8682.1199999999953</c:v>
                </c:pt>
                <c:pt idx="303">
                  <c:v>8712.5999999999949</c:v>
                </c:pt>
                <c:pt idx="304">
                  <c:v>8763.2399999999943</c:v>
                </c:pt>
                <c:pt idx="305">
                  <c:v>8821.7999999999938</c:v>
                </c:pt>
                <c:pt idx="306">
                  <c:v>8877.4799999999941</c:v>
                </c:pt>
                <c:pt idx="307">
                  <c:v>8925.2399999999943</c:v>
                </c:pt>
                <c:pt idx="308">
                  <c:v>8982.3599999999951</c:v>
                </c:pt>
                <c:pt idx="309">
                  <c:v>9021.8399999999947</c:v>
                </c:pt>
                <c:pt idx="310">
                  <c:v>9060.2399999999943</c:v>
                </c:pt>
                <c:pt idx="311">
                  <c:v>9110.519999999995</c:v>
                </c:pt>
                <c:pt idx="312">
                  <c:v>9165.1199999999953</c:v>
                </c:pt>
                <c:pt idx="313">
                  <c:v>9227.9999999999945</c:v>
                </c:pt>
                <c:pt idx="314">
                  <c:v>9289.4399999999951</c:v>
                </c:pt>
                <c:pt idx="315">
                  <c:v>9334.6799999999948</c:v>
                </c:pt>
                <c:pt idx="316">
                  <c:v>9383.519999999995</c:v>
                </c:pt>
                <c:pt idx="317">
                  <c:v>9447.1199999999953</c:v>
                </c:pt>
                <c:pt idx="318">
                  <c:v>9516.8399999999947</c:v>
                </c:pt>
                <c:pt idx="319">
                  <c:v>9578.2799999999952</c:v>
                </c:pt>
                <c:pt idx="320">
                  <c:v>9638.2799999999952</c:v>
                </c:pt>
                <c:pt idx="321">
                  <c:v>9695.399999999996</c:v>
                </c:pt>
                <c:pt idx="322">
                  <c:v>9728.399999999996</c:v>
                </c:pt>
                <c:pt idx="323">
                  <c:v>9755.9999999999964</c:v>
                </c:pt>
                <c:pt idx="324">
                  <c:v>9814.9199999999964</c:v>
                </c:pt>
                <c:pt idx="325">
                  <c:v>9875.279999999997</c:v>
                </c:pt>
                <c:pt idx="326">
                  <c:v>9943.1999999999971</c:v>
                </c:pt>
                <c:pt idx="327">
                  <c:v>10012.919999999996</c:v>
                </c:pt>
                <c:pt idx="328">
                  <c:v>10082.279999999997</c:v>
                </c:pt>
                <c:pt idx="329">
                  <c:v>10145.159999999996</c:v>
                </c:pt>
                <c:pt idx="330">
                  <c:v>10205.879999999996</c:v>
                </c:pt>
                <c:pt idx="331">
                  <c:v>10275.599999999995</c:v>
                </c:pt>
                <c:pt idx="332">
                  <c:v>10336.679999999995</c:v>
                </c:pt>
                <c:pt idx="333">
                  <c:v>10393.439999999995</c:v>
                </c:pt>
                <c:pt idx="334">
                  <c:v>10449.839999999995</c:v>
                </c:pt>
                <c:pt idx="335">
                  <c:v>10505.879999999996</c:v>
                </c:pt>
                <c:pt idx="336">
                  <c:v>10561.559999999996</c:v>
                </c:pt>
                <c:pt idx="337">
                  <c:v>10622.639999999996</c:v>
                </c:pt>
                <c:pt idx="338">
                  <c:v>10686.239999999996</c:v>
                </c:pt>
                <c:pt idx="339">
                  <c:v>10752.719999999996</c:v>
                </c:pt>
                <c:pt idx="340">
                  <c:v>10804.799999999996</c:v>
                </c:pt>
                <c:pt idx="341">
                  <c:v>10856.879999999996</c:v>
                </c:pt>
                <c:pt idx="342">
                  <c:v>10912.919999999996</c:v>
                </c:pt>
                <c:pt idx="343">
                  <c:v>10970.039999999997</c:v>
                </c:pt>
                <c:pt idx="344">
                  <c:v>11027.879999999997</c:v>
                </c:pt>
                <c:pt idx="345">
                  <c:v>11087.519999999997</c:v>
                </c:pt>
                <c:pt idx="346">
                  <c:v>11145.359999999997</c:v>
                </c:pt>
                <c:pt idx="347">
                  <c:v>11200.319999999996</c:v>
                </c:pt>
                <c:pt idx="348">
                  <c:v>11251.679999999997</c:v>
                </c:pt>
                <c:pt idx="349">
                  <c:v>11303.039999999997</c:v>
                </c:pt>
                <c:pt idx="350">
                  <c:v>11356.559999999998</c:v>
                </c:pt>
                <c:pt idx="351">
                  <c:v>11402.879999999997</c:v>
                </c:pt>
                <c:pt idx="352">
                  <c:v>11450.279999999997</c:v>
                </c:pt>
                <c:pt idx="353">
                  <c:v>11501.279999999997</c:v>
                </c:pt>
                <c:pt idx="354">
                  <c:v>11553.719999999998</c:v>
                </c:pt>
                <c:pt idx="355">
                  <c:v>11603.639999999998</c:v>
                </c:pt>
                <c:pt idx="356">
                  <c:v>11649.599999999997</c:v>
                </c:pt>
                <c:pt idx="357">
                  <c:v>11684.399999999996</c:v>
                </c:pt>
                <c:pt idx="358">
                  <c:v>11715.239999999996</c:v>
                </c:pt>
                <c:pt idx="359">
                  <c:v>11749.319999999996</c:v>
                </c:pt>
                <c:pt idx="360">
                  <c:v>11787.359999999997</c:v>
                </c:pt>
                <c:pt idx="361">
                  <c:v>11817.479999999998</c:v>
                </c:pt>
                <c:pt idx="362">
                  <c:v>11867.399999999998</c:v>
                </c:pt>
                <c:pt idx="363">
                  <c:v>11910.839999999998</c:v>
                </c:pt>
                <c:pt idx="364">
                  <c:v>11941.319999999998</c:v>
                </c:pt>
                <c:pt idx="365">
                  <c:v>11962.079999999998</c:v>
                </c:pt>
                <c:pt idx="366">
                  <c:v>11972.039999999997</c:v>
                </c:pt>
                <c:pt idx="367">
                  <c:v>11990.999999999996</c:v>
                </c:pt>
                <c:pt idx="368">
                  <c:v>12013.199999999997</c:v>
                </c:pt>
                <c:pt idx="369">
                  <c:v>12045.839999999997</c:v>
                </c:pt>
                <c:pt idx="370">
                  <c:v>12087.119999999997</c:v>
                </c:pt>
                <c:pt idx="371">
                  <c:v>12132.719999999998</c:v>
                </c:pt>
                <c:pt idx="372">
                  <c:v>12170.399999999998</c:v>
                </c:pt>
                <c:pt idx="373">
                  <c:v>12194.759999999998</c:v>
                </c:pt>
                <c:pt idx="374">
                  <c:v>12218.039999999999</c:v>
                </c:pt>
                <c:pt idx="375">
                  <c:v>12247.8</c:v>
                </c:pt>
                <c:pt idx="376">
                  <c:v>12284.759999999998</c:v>
                </c:pt>
                <c:pt idx="377">
                  <c:v>12308.759999999998</c:v>
                </c:pt>
                <c:pt idx="378">
                  <c:v>12338.88</c:v>
                </c:pt>
                <c:pt idx="379">
                  <c:v>12374.039999999999</c:v>
                </c:pt>
                <c:pt idx="380">
                  <c:v>12410.279999999999</c:v>
                </c:pt>
                <c:pt idx="381">
                  <c:v>12449.4</c:v>
                </c:pt>
                <c:pt idx="382">
                  <c:v>12485.64</c:v>
                </c:pt>
                <c:pt idx="383">
                  <c:v>12518.64</c:v>
                </c:pt>
                <c:pt idx="384">
                  <c:v>12558.119999999999</c:v>
                </c:pt>
                <c:pt idx="385">
                  <c:v>12612.359999999999</c:v>
                </c:pt>
                <c:pt idx="386">
                  <c:v>12666.96</c:v>
                </c:pt>
                <c:pt idx="387">
                  <c:v>12715.08</c:v>
                </c:pt>
                <c:pt idx="388">
                  <c:v>12764.28</c:v>
                </c:pt>
                <c:pt idx="389">
                  <c:v>12812.04</c:v>
                </c:pt>
                <c:pt idx="390">
                  <c:v>12854.400000000001</c:v>
                </c:pt>
                <c:pt idx="391">
                  <c:v>12883.800000000001</c:v>
                </c:pt>
                <c:pt idx="392">
                  <c:v>12908.52</c:v>
                </c:pt>
                <c:pt idx="393">
                  <c:v>12931.800000000001</c:v>
                </c:pt>
                <c:pt idx="394">
                  <c:v>12957.240000000002</c:v>
                </c:pt>
                <c:pt idx="395">
                  <c:v>12997.440000000002</c:v>
                </c:pt>
                <c:pt idx="396">
                  <c:v>13022.520000000002</c:v>
                </c:pt>
                <c:pt idx="397">
                  <c:v>13037.160000000002</c:v>
                </c:pt>
                <c:pt idx="398">
                  <c:v>13050.000000000002</c:v>
                </c:pt>
                <c:pt idx="399">
                  <c:v>13066.440000000002</c:v>
                </c:pt>
                <c:pt idx="400">
                  <c:v>13078.920000000002</c:v>
                </c:pt>
                <c:pt idx="401">
                  <c:v>13091.040000000003</c:v>
                </c:pt>
                <c:pt idx="402">
                  <c:v>13103.520000000002</c:v>
                </c:pt>
                <c:pt idx="403">
                  <c:v>13118.520000000002</c:v>
                </c:pt>
                <c:pt idx="404">
                  <c:v>13125.600000000002</c:v>
                </c:pt>
                <c:pt idx="405">
                  <c:v>13144.560000000001</c:v>
                </c:pt>
                <c:pt idx="406">
                  <c:v>13183.680000000002</c:v>
                </c:pt>
                <c:pt idx="407">
                  <c:v>13220.640000000001</c:v>
                </c:pt>
                <c:pt idx="408">
                  <c:v>13252.560000000001</c:v>
                </c:pt>
                <c:pt idx="409">
                  <c:v>13272.960000000001</c:v>
                </c:pt>
                <c:pt idx="410">
                  <c:v>13288.68</c:v>
                </c:pt>
                <c:pt idx="411">
                  <c:v>13296.84</c:v>
                </c:pt>
                <c:pt idx="412">
                  <c:v>13305.36</c:v>
                </c:pt>
                <c:pt idx="413">
                  <c:v>13311.36</c:v>
                </c:pt>
                <c:pt idx="414">
                  <c:v>13317.36</c:v>
                </c:pt>
                <c:pt idx="415">
                  <c:v>13327.68</c:v>
                </c:pt>
                <c:pt idx="416">
                  <c:v>13344.48</c:v>
                </c:pt>
                <c:pt idx="417">
                  <c:v>13354.08</c:v>
                </c:pt>
                <c:pt idx="418">
                  <c:v>13361.16</c:v>
                </c:pt>
                <c:pt idx="419">
                  <c:v>13367.16</c:v>
                </c:pt>
                <c:pt idx="420">
                  <c:v>13373.16</c:v>
                </c:pt>
                <c:pt idx="421">
                  <c:v>13379.16</c:v>
                </c:pt>
                <c:pt idx="422">
                  <c:v>13385.16</c:v>
                </c:pt>
                <c:pt idx="423">
                  <c:v>13391.52</c:v>
                </c:pt>
                <c:pt idx="424">
                  <c:v>13399.32</c:v>
                </c:pt>
                <c:pt idx="425">
                  <c:v>13409.279999999999</c:v>
                </c:pt>
                <c:pt idx="426">
                  <c:v>13415.279999999999</c:v>
                </c:pt>
                <c:pt idx="427">
                  <c:v>13421.279999999999</c:v>
                </c:pt>
                <c:pt idx="428">
                  <c:v>13427.279999999999</c:v>
                </c:pt>
                <c:pt idx="429">
                  <c:v>13433.279999999999</c:v>
                </c:pt>
                <c:pt idx="430">
                  <c:v>13439.279999999999</c:v>
                </c:pt>
                <c:pt idx="431">
                  <c:v>13445.279999999999</c:v>
                </c:pt>
                <c:pt idx="432">
                  <c:v>13451.279999999999</c:v>
                </c:pt>
                <c:pt idx="433">
                  <c:v>13461.239999999998</c:v>
                </c:pt>
                <c:pt idx="434">
                  <c:v>13471.199999999997</c:v>
                </c:pt>
                <c:pt idx="435">
                  <c:v>13477.199999999997</c:v>
                </c:pt>
                <c:pt idx="436">
                  <c:v>13483.199999999997</c:v>
                </c:pt>
                <c:pt idx="437">
                  <c:v>13493.879999999997</c:v>
                </c:pt>
                <c:pt idx="438">
                  <c:v>13499.879999999997</c:v>
                </c:pt>
                <c:pt idx="439">
                  <c:v>13512.359999999997</c:v>
                </c:pt>
                <c:pt idx="440">
                  <c:v>13518.359999999997</c:v>
                </c:pt>
                <c:pt idx="441">
                  <c:v>13524.719999999998</c:v>
                </c:pt>
                <c:pt idx="442">
                  <c:v>13534.319999999998</c:v>
                </c:pt>
                <c:pt idx="443">
                  <c:v>13540.319999999998</c:v>
                </c:pt>
                <c:pt idx="444">
                  <c:v>13546.319999999998</c:v>
                </c:pt>
                <c:pt idx="445">
                  <c:v>13552.319999999998</c:v>
                </c:pt>
                <c:pt idx="446">
                  <c:v>13558.319999999998</c:v>
                </c:pt>
                <c:pt idx="447">
                  <c:v>13564.319999999998</c:v>
                </c:pt>
                <c:pt idx="448">
                  <c:v>13570.319999999998</c:v>
                </c:pt>
                <c:pt idx="449">
                  <c:v>13576.319999999998</c:v>
                </c:pt>
                <c:pt idx="450">
                  <c:v>13582.319999999998</c:v>
                </c:pt>
                <c:pt idx="451">
                  <c:v>13588.319999999998</c:v>
                </c:pt>
                <c:pt idx="452">
                  <c:v>13594.319999999998</c:v>
                </c:pt>
                <c:pt idx="453">
                  <c:v>13600.319999999998</c:v>
                </c:pt>
                <c:pt idx="454">
                  <c:v>13606.319999999998</c:v>
                </c:pt>
                <c:pt idx="455">
                  <c:v>13615.199999999997</c:v>
                </c:pt>
                <c:pt idx="456">
                  <c:v>13621.199999999997</c:v>
                </c:pt>
                <c:pt idx="457">
                  <c:v>13627.199999999997</c:v>
                </c:pt>
                <c:pt idx="458">
                  <c:v>13633.199999999997</c:v>
                </c:pt>
                <c:pt idx="459">
                  <c:v>13639.199999999997</c:v>
                </c:pt>
                <c:pt idx="460">
                  <c:v>13645.199999999997</c:v>
                </c:pt>
                <c:pt idx="461">
                  <c:v>13651.199999999997</c:v>
                </c:pt>
                <c:pt idx="462">
                  <c:v>13657.199999999997</c:v>
                </c:pt>
                <c:pt idx="463">
                  <c:v>13663.199999999997</c:v>
                </c:pt>
                <c:pt idx="464">
                  <c:v>13669.199999999997</c:v>
                </c:pt>
                <c:pt idx="465">
                  <c:v>13675.199999999997</c:v>
                </c:pt>
                <c:pt idx="466">
                  <c:v>13692.359999999997</c:v>
                </c:pt>
                <c:pt idx="467">
                  <c:v>13706.639999999998</c:v>
                </c:pt>
                <c:pt idx="468">
                  <c:v>13712.639999999998</c:v>
                </c:pt>
                <c:pt idx="469">
                  <c:v>13718.639999999998</c:v>
                </c:pt>
                <c:pt idx="470">
                  <c:v>13724.639999999998</c:v>
                </c:pt>
                <c:pt idx="471">
                  <c:v>13730.639999999998</c:v>
                </c:pt>
                <c:pt idx="472">
                  <c:v>13736.639999999998</c:v>
                </c:pt>
                <c:pt idx="473">
                  <c:v>13742.639999999998</c:v>
                </c:pt>
                <c:pt idx="474">
                  <c:v>13748.639999999998</c:v>
                </c:pt>
                <c:pt idx="475">
                  <c:v>13754.639999999998</c:v>
                </c:pt>
                <c:pt idx="476">
                  <c:v>13760.639999999998</c:v>
                </c:pt>
                <c:pt idx="477">
                  <c:v>13766.639999999998</c:v>
                </c:pt>
                <c:pt idx="478">
                  <c:v>13772.639999999998</c:v>
                </c:pt>
                <c:pt idx="479">
                  <c:v>13778.639999999998</c:v>
                </c:pt>
                <c:pt idx="480">
                  <c:v>13784.639999999998</c:v>
                </c:pt>
                <c:pt idx="481">
                  <c:v>13790.639999999998</c:v>
                </c:pt>
                <c:pt idx="482">
                  <c:v>13796.639999999998</c:v>
                </c:pt>
                <c:pt idx="483">
                  <c:v>13802.639999999998</c:v>
                </c:pt>
                <c:pt idx="484">
                  <c:v>13808.639999999998</c:v>
                </c:pt>
                <c:pt idx="485">
                  <c:v>13816.439999999997</c:v>
                </c:pt>
                <c:pt idx="486">
                  <c:v>13822.439999999997</c:v>
                </c:pt>
                <c:pt idx="487">
                  <c:v>13828.439999999997</c:v>
                </c:pt>
                <c:pt idx="488">
                  <c:v>13835.159999999996</c:v>
                </c:pt>
                <c:pt idx="489">
                  <c:v>13841.159999999996</c:v>
                </c:pt>
                <c:pt idx="490">
                  <c:v>13847.159999999996</c:v>
                </c:pt>
                <c:pt idx="491">
                  <c:v>13853.159999999996</c:v>
                </c:pt>
                <c:pt idx="492">
                  <c:v>13861.679999999997</c:v>
                </c:pt>
                <c:pt idx="493">
                  <c:v>13881.359999999997</c:v>
                </c:pt>
                <c:pt idx="494">
                  <c:v>13901.759999999997</c:v>
                </c:pt>
                <c:pt idx="495">
                  <c:v>13917.119999999997</c:v>
                </c:pt>
                <c:pt idx="496">
                  <c:v>13923.119999999997</c:v>
                </c:pt>
                <c:pt idx="497">
                  <c:v>13929.119999999997</c:v>
                </c:pt>
                <c:pt idx="498">
                  <c:v>13935.119999999997</c:v>
                </c:pt>
                <c:pt idx="499">
                  <c:v>13941.119999999997</c:v>
                </c:pt>
                <c:pt idx="500">
                  <c:v>13952.519999999997</c:v>
                </c:pt>
                <c:pt idx="501">
                  <c:v>13958.519999999997</c:v>
                </c:pt>
                <c:pt idx="502">
                  <c:v>13964.519999999997</c:v>
                </c:pt>
                <c:pt idx="503">
                  <c:v>13970.519999999997</c:v>
                </c:pt>
                <c:pt idx="504">
                  <c:v>13976.519999999997</c:v>
                </c:pt>
                <c:pt idx="505">
                  <c:v>13982.519999999997</c:v>
                </c:pt>
                <c:pt idx="506">
                  <c:v>13988.519999999997</c:v>
                </c:pt>
                <c:pt idx="507">
                  <c:v>13994.519999999997</c:v>
                </c:pt>
                <c:pt idx="508">
                  <c:v>14000.519999999997</c:v>
                </c:pt>
                <c:pt idx="509">
                  <c:v>14006.519999999997</c:v>
                </c:pt>
                <c:pt idx="510">
                  <c:v>14012.519999999997</c:v>
                </c:pt>
                <c:pt idx="511">
                  <c:v>14018.519999999997</c:v>
                </c:pt>
                <c:pt idx="512">
                  <c:v>14024.519999999997</c:v>
                </c:pt>
                <c:pt idx="513">
                  <c:v>14030.519999999997</c:v>
                </c:pt>
                <c:pt idx="514">
                  <c:v>14037.599999999997</c:v>
                </c:pt>
                <c:pt idx="515">
                  <c:v>14043.599999999997</c:v>
                </c:pt>
                <c:pt idx="516">
                  <c:v>14049.599999999997</c:v>
                </c:pt>
                <c:pt idx="517">
                  <c:v>14055.599999999997</c:v>
                </c:pt>
                <c:pt idx="518">
                  <c:v>14061.599999999997</c:v>
                </c:pt>
                <c:pt idx="519">
                  <c:v>14070.479999999996</c:v>
                </c:pt>
                <c:pt idx="520">
                  <c:v>14077.919999999996</c:v>
                </c:pt>
                <c:pt idx="521">
                  <c:v>14083.919999999996</c:v>
                </c:pt>
                <c:pt idx="522">
                  <c:v>14089.919999999996</c:v>
                </c:pt>
                <c:pt idx="523">
                  <c:v>14095.919999999996</c:v>
                </c:pt>
                <c:pt idx="524">
                  <c:v>14101.919999999996</c:v>
                </c:pt>
                <c:pt idx="525">
                  <c:v>14107.919999999996</c:v>
                </c:pt>
                <c:pt idx="526">
                  <c:v>14113.919999999996</c:v>
                </c:pt>
                <c:pt idx="527">
                  <c:v>14119.919999999996</c:v>
                </c:pt>
                <c:pt idx="528">
                  <c:v>14125.919999999996</c:v>
                </c:pt>
                <c:pt idx="529">
                  <c:v>14131.919999999996</c:v>
                </c:pt>
                <c:pt idx="530">
                  <c:v>14137.919999999996</c:v>
                </c:pt>
                <c:pt idx="531">
                  <c:v>14143.919999999996</c:v>
                </c:pt>
                <c:pt idx="532">
                  <c:v>14157.119999999997</c:v>
                </c:pt>
                <c:pt idx="533">
                  <c:v>14179.679999999997</c:v>
                </c:pt>
                <c:pt idx="534">
                  <c:v>14202.959999999997</c:v>
                </c:pt>
                <c:pt idx="535">
                  <c:v>14225.159999999998</c:v>
                </c:pt>
                <c:pt idx="536">
                  <c:v>14249.879999999997</c:v>
                </c:pt>
                <c:pt idx="537">
                  <c:v>14270.279999999997</c:v>
                </c:pt>
                <c:pt idx="538">
                  <c:v>14288.159999999996</c:v>
                </c:pt>
                <c:pt idx="539">
                  <c:v>14306.759999999997</c:v>
                </c:pt>
                <c:pt idx="540">
                  <c:v>14327.519999999997</c:v>
                </c:pt>
                <c:pt idx="541">
                  <c:v>14345.759999999997</c:v>
                </c:pt>
                <c:pt idx="542">
                  <c:v>14358.239999999996</c:v>
                </c:pt>
                <c:pt idx="543">
                  <c:v>14364.239999999996</c:v>
                </c:pt>
                <c:pt idx="544">
                  <c:v>14370.239999999996</c:v>
                </c:pt>
                <c:pt idx="545">
                  <c:v>14376.239999999996</c:v>
                </c:pt>
                <c:pt idx="546">
                  <c:v>14393.399999999996</c:v>
                </c:pt>
                <c:pt idx="547">
                  <c:v>14420.999999999996</c:v>
                </c:pt>
                <c:pt idx="548">
                  <c:v>14450.759999999997</c:v>
                </c:pt>
                <c:pt idx="549">
                  <c:v>14493.479999999996</c:v>
                </c:pt>
                <c:pt idx="550">
                  <c:v>14533.679999999997</c:v>
                </c:pt>
                <c:pt idx="551">
                  <c:v>14573.519999999997</c:v>
                </c:pt>
                <c:pt idx="552">
                  <c:v>14614.799999999997</c:v>
                </c:pt>
                <c:pt idx="553">
                  <c:v>14654.279999999997</c:v>
                </c:pt>
                <c:pt idx="554">
                  <c:v>14697.719999999998</c:v>
                </c:pt>
                <c:pt idx="555">
                  <c:v>14740.799999999997</c:v>
                </c:pt>
                <c:pt idx="556">
                  <c:v>14785.679999999997</c:v>
                </c:pt>
                <c:pt idx="557">
                  <c:v>14829.119999999997</c:v>
                </c:pt>
                <c:pt idx="558">
                  <c:v>14867.879999999997</c:v>
                </c:pt>
                <c:pt idx="559">
                  <c:v>14900.159999999998</c:v>
                </c:pt>
                <c:pt idx="560">
                  <c:v>14926.679999999998</c:v>
                </c:pt>
                <c:pt idx="561">
                  <c:v>14965.079999999998</c:v>
                </c:pt>
                <c:pt idx="562">
                  <c:v>14996.639999999998</c:v>
                </c:pt>
                <c:pt idx="563">
                  <c:v>15026.399999999998</c:v>
                </c:pt>
                <c:pt idx="564">
                  <c:v>15062.999999999998</c:v>
                </c:pt>
                <c:pt idx="565">
                  <c:v>15103.559999999998</c:v>
                </c:pt>
                <c:pt idx="566">
                  <c:v>15150.599999999999</c:v>
                </c:pt>
                <c:pt idx="567">
                  <c:v>15195.479999999998</c:v>
                </c:pt>
                <c:pt idx="568">
                  <c:v>15229.199999999997</c:v>
                </c:pt>
                <c:pt idx="569">
                  <c:v>15259.319999999998</c:v>
                </c:pt>
                <c:pt idx="570">
                  <c:v>15294.839999999998</c:v>
                </c:pt>
                <c:pt idx="571">
                  <c:v>15329.639999999998</c:v>
                </c:pt>
                <c:pt idx="572">
                  <c:v>15362.639999999998</c:v>
                </c:pt>
                <c:pt idx="573">
                  <c:v>15394.199999999997</c:v>
                </c:pt>
                <c:pt idx="574">
                  <c:v>15438.359999999997</c:v>
                </c:pt>
                <c:pt idx="575">
                  <c:v>15485.039999999997</c:v>
                </c:pt>
                <c:pt idx="576">
                  <c:v>15519.119999999997</c:v>
                </c:pt>
                <c:pt idx="577">
                  <c:v>15560.759999999997</c:v>
                </c:pt>
                <c:pt idx="578">
                  <c:v>15614.999999999996</c:v>
                </c:pt>
                <c:pt idx="579">
                  <c:v>15667.799999999996</c:v>
                </c:pt>
                <c:pt idx="580">
                  <c:v>15720.959999999995</c:v>
                </c:pt>
                <c:pt idx="581">
                  <c:v>15769.079999999996</c:v>
                </c:pt>
                <c:pt idx="582">
                  <c:v>15823.679999999997</c:v>
                </c:pt>
                <c:pt idx="583">
                  <c:v>15885.839999999997</c:v>
                </c:pt>
                <c:pt idx="584">
                  <c:v>15949.799999999996</c:v>
                </c:pt>
                <c:pt idx="585">
                  <c:v>16011.599999999995</c:v>
                </c:pt>
                <c:pt idx="586">
                  <c:v>16071.599999999995</c:v>
                </c:pt>
                <c:pt idx="587">
                  <c:v>16140.239999999994</c:v>
                </c:pt>
                <c:pt idx="588">
                  <c:v>16213.199999999993</c:v>
                </c:pt>
                <c:pt idx="589">
                  <c:v>16290.479999999994</c:v>
                </c:pt>
                <c:pt idx="590">
                  <c:v>16363.079999999994</c:v>
                </c:pt>
                <c:pt idx="591">
                  <c:v>16409.759999999995</c:v>
                </c:pt>
                <c:pt idx="592">
                  <c:v>16444.559999999994</c:v>
                </c:pt>
                <c:pt idx="593">
                  <c:v>16478.999999999993</c:v>
                </c:pt>
                <c:pt idx="594">
                  <c:v>16522.799999999992</c:v>
                </c:pt>
                <c:pt idx="595">
                  <c:v>16574.879999999994</c:v>
                </c:pt>
                <c:pt idx="596">
                  <c:v>16629.119999999995</c:v>
                </c:pt>
                <c:pt idx="597">
                  <c:v>16668.959999999995</c:v>
                </c:pt>
                <c:pt idx="598">
                  <c:v>16709.519999999997</c:v>
                </c:pt>
                <c:pt idx="599">
                  <c:v>16752.239999999998</c:v>
                </c:pt>
                <c:pt idx="600">
                  <c:v>16800.359999999997</c:v>
                </c:pt>
                <c:pt idx="601">
                  <c:v>16856.759999999998</c:v>
                </c:pt>
                <c:pt idx="602">
                  <c:v>16911</c:v>
                </c:pt>
                <c:pt idx="603">
                  <c:v>16979.64</c:v>
                </c:pt>
                <c:pt idx="604">
                  <c:v>17052.96</c:v>
                </c:pt>
                <c:pt idx="605">
                  <c:v>17124.12</c:v>
                </c:pt>
                <c:pt idx="606">
                  <c:v>17179.8</c:v>
                </c:pt>
                <c:pt idx="607">
                  <c:v>17234.759999999998</c:v>
                </c:pt>
                <c:pt idx="608">
                  <c:v>17310.599999999999</c:v>
                </c:pt>
                <c:pt idx="609">
                  <c:v>17395.079999999998</c:v>
                </c:pt>
                <c:pt idx="610">
                  <c:v>17477.399999999998</c:v>
                </c:pt>
                <c:pt idx="611">
                  <c:v>17551.439999999999</c:v>
                </c:pt>
                <c:pt idx="612">
                  <c:v>17622.239999999998</c:v>
                </c:pt>
                <c:pt idx="613">
                  <c:v>17679.359999999997</c:v>
                </c:pt>
                <c:pt idx="614">
                  <c:v>17726.399999999998</c:v>
                </c:pt>
                <c:pt idx="615">
                  <c:v>17766.96</c:v>
                </c:pt>
                <c:pt idx="616">
                  <c:v>17812.919999999998</c:v>
                </c:pt>
                <c:pt idx="617">
                  <c:v>17866.8</c:v>
                </c:pt>
                <c:pt idx="618">
                  <c:v>17939.399999999998</c:v>
                </c:pt>
                <c:pt idx="619">
                  <c:v>17997.239999999998</c:v>
                </c:pt>
                <c:pt idx="620">
                  <c:v>18061.559999999998</c:v>
                </c:pt>
                <c:pt idx="621">
                  <c:v>18128.759999999998</c:v>
                </c:pt>
                <c:pt idx="622">
                  <c:v>18205.32</c:v>
                </c:pt>
                <c:pt idx="623">
                  <c:v>18271.079999999998</c:v>
                </c:pt>
                <c:pt idx="624">
                  <c:v>18335.039999999997</c:v>
                </c:pt>
                <c:pt idx="625">
                  <c:v>18406.919999999998</c:v>
                </c:pt>
                <c:pt idx="626">
                  <c:v>18483.12</c:v>
                </c:pt>
                <c:pt idx="627">
                  <c:v>18562.559999999998</c:v>
                </c:pt>
                <c:pt idx="628">
                  <c:v>18631.559999999998</c:v>
                </c:pt>
                <c:pt idx="629">
                  <c:v>18687.599999999999</c:v>
                </c:pt>
                <c:pt idx="630">
                  <c:v>18732.84</c:v>
                </c:pt>
                <c:pt idx="631">
                  <c:v>18773.759999999998</c:v>
                </c:pt>
                <c:pt idx="632">
                  <c:v>18825.48</c:v>
                </c:pt>
                <c:pt idx="633">
                  <c:v>18879.72</c:v>
                </c:pt>
                <c:pt idx="634">
                  <c:v>18950.16</c:v>
                </c:pt>
                <c:pt idx="635">
                  <c:v>19028.88</c:v>
                </c:pt>
                <c:pt idx="636">
                  <c:v>19113.36</c:v>
                </c:pt>
                <c:pt idx="637">
                  <c:v>19203.240000000002</c:v>
                </c:pt>
                <c:pt idx="638">
                  <c:v>19282.68</c:v>
                </c:pt>
                <c:pt idx="639">
                  <c:v>19351.32</c:v>
                </c:pt>
                <c:pt idx="640">
                  <c:v>19415.28</c:v>
                </c:pt>
                <c:pt idx="641">
                  <c:v>19496.879999999997</c:v>
                </c:pt>
                <c:pt idx="642">
                  <c:v>19593.96</c:v>
                </c:pt>
                <c:pt idx="643">
                  <c:v>19695.719999999998</c:v>
                </c:pt>
                <c:pt idx="644">
                  <c:v>19785.239999999998</c:v>
                </c:pt>
                <c:pt idx="645">
                  <c:v>19861.439999999999</c:v>
                </c:pt>
                <c:pt idx="646">
                  <c:v>19948.079999999998</c:v>
                </c:pt>
                <c:pt idx="647">
                  <c:v>20048.399999999998</c:v>
                </c:pt>
                <c:pt idx="648">
                  <c:v>20106.599999999999</c:v>
                </c:pt>
                <c:pt idx="649">
                  <c:v>20165.879999999997</c:v>
                </c:pt>
                <c:pt idx="650">
                  <c:v>20232.719999999998</c:v>
                </c:pt>
                <c:pt idx="651">
                  <c:v>20301.359999999997</c:v>
                </c:pt>
                <c:pt idx="652">
                  <c:v>20378.639999999996</c:v>
                </c:pt>
                <c:pt idx="653">
                  <c:v>20460.239999999994</c:v>
                </c:pt>
                <c:pt idx="654">
                  <c:v>20549.759999999995</c:v>
                </c:pt>
                <c:pt idx="655">
                  <c:v>20655.839999999997</c:v>
                </c:pt>
                <c:pt idx="656">
                  <c:v>20757.959999999995</c:v>
                </c:pt>
                <c:pt idx="657">
                  <c:v>20848.919999999995</c:v>
                </c:pt>
                <c:pt idx="658">
                  <c:v>20937.719999999994</c:v>
                </c:pt>
                <c:pt idx="659">
                  <c:v>21027.599999999995</c:v>
                </c:pt>
                <c:pt idx="660">
                  <c:v>21115.319999999996</c:v>
                </c:pt>
                <c:pt idx="661">
                  <c:v>21192.599999999995</c:v>
                </c:pt>
                <c:pt idx="662">
                  <c:v>21268.439999999995</c:v>
                </c:pt>
                <c:pt idx="663">
                  <c:v>21355.799999999996</c:v>
                </c:pt>
                <c:pt idx="664">
                  <c:v>21443.879999999997</c:v>
                </c:pt>
                <c:pt idx="665">
                  <c:v>21537.359999999997</c:v>
                </c:pt>
                <c:pt idx="666">
                  <c:v>21631.919999999998</c:v>
                </c:pt>
                <c:pt idx="667">
                  <c:v>21717.119999999999</c:v>
                </c:pt>
                <c:pt idx="668">
                  <c:v>21799.079999999998</c:v>
                </c:pt>
                <c:pt idx="669">
                  <c:v>21877.8</c:v>
                </c:pt>
                <c:pt idx="670">
                  <c:v>21949.68</c:v>
                </c:pt>
                <c:pt idx="671">
                  <c:v>22015.439999999999</c:v>
                </c:pt>
                <c:pt idx="672">
                  <c:v>22072.92</c:v>
                </c:pt>
                <c:pt idx="673">
                  <c:v>22137.239999999998</c:v>
                </c:pt>
                <c:pt idx="674">
                  <c:v>22209.48</c:v>
                </c:pt>
                <c:pt idx="675">
                  <c:v>22288.560000000001</c:v>
                </c:pt>
                <c:pt idx="676">
                  <c:v>22369.800000000003</c:v>
                </c:pt>
                <c:pt idx="677">
                  <c:v>22442.040000000005</c:v>
                </c:pt>
                <c:pt idx="678">
                  <c:v>22507.440000000006</c:v>
                </c:pt>
                <c:pt idx="679">
                  <c:v>22571.760000000006</c:v>
                </c:pt>
                <c:pt idx="680">
                  <c:v>22642.560000000005</c:v>
                </c:pt>
                <c:pt idx="681">
                  <c:v>22713.360000000004</c:v>
                </c:pt>
                <c:pt idx="682">
                  <c:v>22779.840000000004</c:v>
                </c:pt>
                <c:pt idx="683">
                  <c:v>22841.280000000002</c:v>
                </c:pt>
                <c:pt idx="684">
                  <c:v>22894.080000000002</c:v>
                </c:pt>
                <c:pt idx="685">
                  <c:v>22946.160000000003</c:v>
                </c:pt>
                <c:pt idx="686">
                  <c:v>23001.480000000003</c:v>
                </c:pt>
                <c:pt idx="687">
                  <c:v>23049.960000000003</c:v>
                </c:pt>
                <c:pt idx="688">
                  <c:v>23088.720000000001</c:v>
                </c:pt>
                <c:pt idx="689">
                  <c:v>23125.32</c:v>
                </c:pt>
                <c:pt idx="690">
                  <c:v>23156.52</c:v>
                </c:pt>
                <c:pt idx="691">
                  <c:v>23206.799999999999</c:v>
                </c:pt>
                <c:pt idx="692">
                  <c:v>23264.28</c:v>
                </c:pt>
                <c:pt idx="693">
                  <c:v>23312.039999999997</c:v>
                </c:pt>
                <c:pt idx="694">
                  <c:v>23354.76</c:v>
                </c:pt>
                <c:pt idx="695">
                  <c:v>23400.719999999998</c:v>
                </c:pt>
                <c:pt idx="696">
                  <c:v>23449.199999999997</c:v>
                </c:pt>
                <c:pt idx="697">
                  <c:v>23489.399999999998</c:v>
                </c:pt>
                <c:pt idx="698">
                  <c:v>23536.44</c:v>
                </c:pt>
                <c:pt idx="699">
                  <c:v>23576.28</c:v>
                </c:pt>
                <c:pt idx="700">
                  <c:v>23612.16</c:v>
                </c:pt>
                <c:pt idx="701">
                  <c:v>23660.639999999999</c:v>
                </c:pt>
                <c:pt idx="702">
                  <c:v>23714.16</c:v>
                </c:pt>
                <c:pt idx="703">
                  <c:v>23767.68</c:v>
                </c:pt>
                <c:pt idx="704">
                  <c:v>23809.32</c:v>
                </c:pt>
                <c:pt idx="705">
                  <c:v>23857.8</c:v>
                </c:pt>
                <c:pt idx="706">
                  <c:v>23905.200000000001</c:v>
                </c:pt>
                <c:pt idx="707">
                  <c:v>23965.200000000001</c:v>
                </c:pt>
                <c:pt idx="708">
                  <c:v>24021.24</c:v>
                </c:pt>
                <c:pt idx="709">
                  <c:v>24066.84</c:v>
                </c:pt>
                <c:pt idx="710">
                  <c:v>24105.24</c:v>
                </c:pt>
                <c:pt idx="711">
                  <c:v>24144.36</c:v>
                </c:pt>
                <c:pt idx="712">
                  <c:v>24180.959999999999</c:v>
                </c:pt>
                <c:pt idx="713">
                  <c:v>24222.959999999999</c:v>
                </c:pt>
                <c:pt idx="714">
                  <c:v>24264.6</c:v>
                </c:pt>
                <c:pt idx="715">
                  <c:v>24291.48</c:v>
                </c:pt>
                <c:pt idx="716">
                  <c:v>24320.52</c:v>
                </c:pt>
                <c:pt idx="717">
                  <c:v>24370.080000000002</c:v>
                </c:pt>
                <c:pt idx="718">
                  <c:v>24420.36</c:v>
                </c:pt>
                <c:pt idx="719">
                  <c:v>24460.560000000001</c:v>
                </c:pt>
                <c:pt idx="720">
                  <c:v>24503.280000000002</c:v>
                </c:pt>
                <c:pt idx="721">
                  <c:v>24544.560000000001</c:v>
                </c:pt>
                <c:pt idx="722">
                  <c:v>24588.36</c:v>
                </c:pt>
                <c:pt idx="723">
                  <c:v>24615.96</c:v>
                </c:pt>
                <c:pt idx="724">
                  <c:v>24636.36</c:v>
                </c:pt>
                <c:pt idx="725">
                  <c:v>24656.760000000002</c:v>
                </c:pt>
                <c:pt idx="726">
                  <c:v>24674.640000000003</c:v>
                </c:pt>
                <c:pt idx="727">
                  <c:v>24690.000000000004</c:v>
                </c:pt>
                <c:pt idx="728">
                  <c:v>24706.440000000002</c:v>
                </c:pt>
                <c:pt idx="729">
                  <c:v>24732.960000000003</c:v>
                </c:pt>
                <c:pt idx="730">
                  <c:v>24769.56</c:v>
                </c:pt>
                <c:pt idx="731">
                  <c:v>24805.800000000003</c:v>
                </c:pt>
                <c:pt idx="732">
                  <c:v>24846.720000000001</c:v>
                </c:pt>
                <c:pt idx="733">
                  <c:v>24886.2</c:v>
                </c:pt>
                <c:pt idx="734">
                  <c:v>24913.440000000002</c:v>
                </c:pt>
                <c:pt idx="735">
                  <c:v>24935.280000000002</c:v>
                </c:pt>
                <c:pt idx="736">
                  <c:v>24950.640000000003</c:v>
                </c:pt>
                <c:pt idx="737">
                  <c:v>24989.4</c:v>
                </c:pt>
                <c:pt idx="738">
                  <c:v>25022.400000000001</c:v>
                </c:pt>
                <c:pt idx="739">
                  <c:v>25056.480000000003</c:v>
                </c:pt>
                <c:pt idx="740">
                  <c:v>25088.760000000002</c:v>
                </c:pt>
                <c:pt idx="741">
                  <c:v>25118.880000000001</c:v>
                </c:pt>
                <c:pt idx="742">
                  <c:v>25161.24</c:v>
                </c:pt>
                <c:pt idx="743">
                  <c:v>25211.52</c:v>
                </c:pt>
                <c:pt idx="744">
                  <c:v>25266.84</c:v>
                </c:pt>
                <c:pt idx="745">
                  <c:v>25326.84</c:v>
                </c:pt>
                <c:pt idx="746">
                  <c:v>25382.52</c:v>
                </c:pt>
                <c:pt idx="747">
                  <c:v>25427.4</c:v>
                </c:pt>
                <c:pt idx="748">
                  <c:v>25466.880000000001</c:v>
                </c:pt>
                <c:pt idx="749">
                  <c:v>25512.48</c:v>
                </c:pt>
                <c:pt idx="750">
                  <c:v>25550.16</c:v>
                </c:pt>
                <c:pt idx="751">
                  <c:v>25581</c:v>
                </c:pt>
                <c:pt idx="752">
                  <c:v>25632.36</c:v>
                </c:pt>
                <c:pt idx="753">
                  <c:v>25677.600000000002</c:v>
                </c:pt>
                <c:pt idx="754">
                  <c:v>25726.800000000003</c:v>
                </c:pt>
                <c:pt idx="755">
                  <c:v>25769.520000000004</c:v>
                </c:pt>
                <c:pt idx="756">
                  <c:v>25803.600000000006</c:v>
                </c:pt>
                <c:pt idx="757">
                  <c:v>25833.720000000005</c:v>
                </c:pt>
                <c:pt idx="758">
                  <c:v>25861.680000000004</c:v>
                </c:pt>
                <c:pt idx="759">
                  <c:v>25887.840000000004</c:v>
                </c:pt>
                <c:pt idx="760">
                  <c:v>25913.640000000003</c:v>
                </c:pt>
                <c:pt idx="761">
                  <c:v>25946.640000000003</c:v>
                </c:pt>
                <c:pt idx="762">
                  <c:v>25967.040000000005</c:v>
                </c:pt>
                <c:pt idx="763">
                  <c:v>25986.720000000005</c:v>
                </c:pt>
                <c:pt idx="764">
                  <c:v>26016.120000000006</c:v>
                </c:pt>
                <c:pt idx="765">
                  <c:v>26063.160000000007</c:v>
                </c:pt>
                <c:pt idx="766">
                  <c:v>26104.080000000005</c:v>
                </c:pt>
                <c:pt idx="767">
                  <c:v>26126.640000000007</c:v>
                </c:pt>
                <c:pt idx="768">
                  <c:v>26139.840000000007</c:v>
                </c:pt>
                <c:pt idx="769">
                  <c:v>26151.240000000009</c:v>
                </c:pt>
                <c:pt idx="770">
                  <c:v>26165.520000000008</c:v>
                </c:pt>
                <c:pt idx="771">
                  <c:v>26176.920000000009</c:v>
                </c:pt>
                <c:pt idx="772">
                  <c:v>26184.720000000008</c:v>
                </c:pt>
                <c:pt idx="773">
                  <c:v>26190.720000000008</c:v>
                </c:pt>
                <c:pt idx="774">
                  <c:v>26196.720000000008</c:v>
                </c:pt>
                <c:pt idx="775">
                  <c:v>26202.720000000008</c:v>
                </c:pt>
                <c:pt idx="776">
                  <c:v>26217.000000000007</c:v>
                </c:pt>
                <c:pt idx="777">
                  <c:v>26227.320000000007</c:v>
                </c:pt>
                <c:pt idx="778">
                  <c:v>26239.440000000006</c:v>
                </c:pt>
                <c:pt idx="779">
                  <c:v>26245.440000000006</c:v>
                </c:pt>
                <c:pt idx="780">
                  <c:v>26260.800000000007</c:v>
                </c:pt>
                <c:pt idx="781">
                  <c:v>26276.880000000008</c:v>
                </c:pt>
                <c:pt idx="782">
                  <c:v>26284.320000000007</c:v>
                </c:pt>
                <c:pt idx="783">
                  <c:v>26290.320000000007</c:v>
                </c:pt>
                <c:pt idx="784">
                  <c:v>26296.320000000007</c:v>
                </c:pt>
                <c:pt idx="785">
                  <c:v>26302.320000000007</c:v>
                </c:pt>
                <c:pt idx="786">
                  <c:v>26308.320000000007</c:v>
                </c:pt>
                <c:pt idx="787">
                  <c:v>26314.320000000007</c:v>
                </c:pt>
                <c:pt idx="788">
                  <c:v>26320.320000000007</c:v>
                </c:pt>
                <c:pt idx="789">
                  <c:v>26326.320000000007</c:v>
                </c:pt>
                <c:pt idx="790">
                  <c:v>26332.320000000007</c:v>
                </c:pt>
                <c:pt idx="791">
                  <c:v>26338.320000000007</c:v>
                </c:pt>
                <c:pt idx="792">
                  <c:v>26346.480000000007</c:v>
                </c:pt>
                <c:pt idx="793">
                  <c:v>26352.480000000007</c:v>
                </c:pt>
                <c:pt idx="794">
                  <c:v>26369.640000000007</c:v>
                </c:pt>
                <c:pt idx="795">
                  <c:v>26379.600000000006</c:v>
                </c:pt>
                <c:pt idx="796">
                  <c:v>26385.600000000006</c:v>
                </c:pt>
                <c:pt idx="797">
                  <c:v>26391.600000000006</c:v>
                </c:pt>
                <c:pt idx="798">
                  <c:v>26397.600000000006</c:v>
                </c:pt>
                <c:pt idx="799">
                  <c:v>26403.600000000006</c:v>
                </c:pt>
                <c:pt idx="800">
                  <c:v>26409.600000000006</c:v>
                </c:pt>
                <c:pt idx="801">
                  <c:v>26415.600000000006</c:v>
                </c:pt>
                <c:pt idx="802">
                  <c:v>26421.600000000006</c:v>
                </c:pt>
                <c:pt idx="803">
                  <c:v>26427.600000000006</c:v>
                </c:pt>
                <c:pt idx="804">
                  <c:v>26437.200000000004</c:v>
                </c:pt>
                <c:pt idx="805">
                  <c:v>26443.200000000004</c:v>
                </c:pt>
                <c:pt idx="806">
                  <c:v>26449.200000000004</c:v>
                </c:pt>
                <c:pt idx="807">
                  <c:v>26455.200000000004</c:v>
                </c:pt>
                <c:pt idx="808">
                  <c:v>26461.200000000004</c:v>
                </c:pt>
                <c:pt idx="809">
                  <c:v>26467.200000000004</c:v>
                </c:pt>
                <c:pt idx="810">
                  <c:v>26473.200000000004</c:v>
                </c:pt>
                <c:pt idx="811">
                  <c:v>26479.200000000004</c:v>
                </c:pt>
                <c:pt idx="812">
                  <c:v>26485.200000000004</c:v>
                </c:pt>
                <c:pt idx="813">
                  <c:v>26491.200000000004</c:v>
                </c:pt>
                <c:pt idx="814">
                  <c:v>26497.200000000004</c:v>
                </c:pt>
                <c:pt idx="815">
                  <c:v>26503.200000000004</c:v>
                </c:pt>
                <c:pt idx="816">
                  <c:v>26509.200000000004</c:v>
                </c:pt>
                <c:pt idx="817">
                  <c:v>26515.200000000004</c:v>
                </c:pt>
                <c:pt idx="818">
                  <c:v>26521.200000000004</c:v>
                </c:pt>
                <c:pt idx="819">
                  <c:v>26527.200000000004</c:v>
                </c:pt>
                <c:pt idx="820">
                  <c:v>26533.200000000004</c:v>
                </c:pt>
                <c:pt idx="821">
                  <c:v>26539.200000000004</c:v>
                </c:pt>
                <c:pt idx="822">
                  <c:v>26545.200000000004</c:v>
                </c:pt>
                <c:pt idx="823">
                  <c:v>26551.200000000004</c:v>
                </c:pt>
                <c:pt idx="824">
                  <c:v>26557.200000000004</c:v>
                </c:pt>
                <c:pt idx="825">
                  <c:v>26563.200000000004</c:v>
                </c:pt>
                <c:pt idx="826">
                  <c:v>26569.200000000004</c:v>
                </c:pt>
                <c:pt idx="827">
                  <c:v>26575.200000000004</c:v>
                </c:pt>
                <c:pt idx="828">
                  <c:v>26581.200000000004</c:v>
                </c:pt>
                <c:pt idx="829">
                  <c:v>26587.200000000004</c:v>
                </c:pt>
                <c:pt idx="830">
                  <c:v>26598.600000000006</c:v>
                </c:pt>
                <c:pt idx="831">
                  <c:v>26612.520000000004</c:v>
                </c:pt>
                <c:pt idx="832">
                  <c:v>26628.600000000006</c:v>
                </c:pt>
                <c:pt idx="833">
                  <c:v>26634.600000000006</c:v>
                </c:pt>
                <c:pt idx="834">
                  <c:v>26640.600000000006</c:v>
                </c:pt>
                <c:pt idx="835">
                  <c:v>26646.600000000006</c:v>
                </c:pt>
                <c:pt idx="836">
                  <c:v>26652.600000000006</c:v>
                </c:pt>
                <c:pt idx="837">
                  <c:v>26658.600000000006</c:v>
                </c:pt>
                <c:pt idx="838">
                  <c:v>26664.600000000006</c:v>
                </c:pt>
                <c:pt idx="839">
                  <c:v>26670.600000000006</c:v>
                </c:pt>
                <c:pt idx="840">
                  <c:v>26676.600000000006</c:v>
                </c:pt>
                <c:pt idx="841">
                  <c:v>26682.600000000006</c:v>
                </c:pt>
                <c:pt idx="842">
                  <c:v>26691.840000000007</c:v>
                </c:pt>
                <c:pt idx="843">
                  <c:v>26700.000000000007</c:v>
                </c:pt>
                <c:pt idx="844">
                  <c:v>26706.000000000007</c:v>
                </c:pt>
                <c:pt idx="845">
                  <c:v>26712.000000000007</c:v>
                </c:pt>
                <c:pt idx="846">
                  <c:v>26718.000000000007</c:v>
                </c:pt>
                <c:pt idx="847">
                  <c:v>26724.000000000007</c:v>
                </c:pt>
                <c:pt idx="848">
                  <c:v>26730.000000000007</c:v>
                </c:pt>
                <c:pt idx="849">
                  <c:v>26736.000000000007</c:v>
                </c:pt>
                <c:pt idx="850">
                  <c:v>26742.000000000007</c:v>
                </c:pt>
                <c:pt idx="851">
                  <c:v>26748.000000000007</c:v>
                </c:pt>
                <c:pt idx="852">
                  <c:v>26754.000000000007</c:v>
                </c:pt>
                <c:pt idx="853">
                  <c:v>26760.000000000007</c:v>
                </c:pt>
                <c:pt idx="854">
                  <c:v>26766.000000000007</c:v>
                </c:pt>
                <c:pt idx="855">
                  <c:v>26772.000000000007</c:v>
                </c:pt>
                <c:pt idx="856">
                  <c:v>26778.000000000007</c:v>
                </c:pt>
                <c:pt idx="857">
                  <c:v>26784.000000000007</c:v>
                </c:pt>
                <c:pt idx="858">
                  <c:v>26790.000000000007</c:v>
                </c:pt>
                <c:pt idx="859">
                  <c:v>26797.440000000006</c:v>
                </c:pt>
                <c:pt idx="860">
                  <c:v>26805.600000000006</c:v>
                </c:pt>
                <c:pt idx="861">
                  <c:v>26811.600000000006</c:v>
                </c:pt>
                <c:pt idx="862">
                  <c:v>26817.600000000006</c:v>
                </c:pt>
                <c:pt idx="863">
                  <c:v>26823.600000000006</c:v>
                </c:pt>
                <c:pt idx="864">
                  <c:v>26829.600000000006</c:v>
                </c:pt>
                <c:pt idx="865">
                  <c:v>26835.600000000006</c:v>
                </c:pt>
                <c:pt idx="866">
                  <c:v>26841.600000000006</c:v>
                </c:pt>
                <c:pt idx="867">
                  <c:v>26847.600000000006</c:v>
                </c:pt>
                <c:pt idx="868">
                  <c:v>26854.680000000008</c:v>
                </c:pt>
                <c:pt idx="869">
                  <c:v>26865.360000000008</c:v>
                </c:pt>
                <c:pt idx="870">
                  <c:v>26880.000000000007</c:v>
                </c:pt>
                <c:pt idx="871">
                  <c:v>26895.000000000007</c:v>
                </c:pt>
                <c:pt idx="872">
                  <c:v>26901.000000000007</c:v>
                </c:pt>
                <c:pt idx="873">
                  <c:v>26907.000000000007</c:v>
                </c:pt>
                <c:pt idx="874">
                  <c:v>26913.000000000007</c:v>
                </c:pt>
                <c:pt idx="875">
                  <c:v>26919.000000000007</c:v>
                </c:pt>
                <c:pt idx="876">
                  <c:v>26925.000000000007</c:v>
                </c:pt>
                <c:pt idx="877">
                  <c:v>26931.000000000007</c:v>
                </c:pt>
                <c:pt idx="878">
                  <c:v>26937.000000000007</c:v>
                </c:pt>
                <c:pt idx="879">
                  <c:v>26943.000000000007</c:v>
                </c:pt>
                <c:pt idx="880">
                  <c:v>26962.320000000007</c:v>
                </c:pt>
                <c:pt idx="881">
                  <c:v>26981.280000000006</c:v>
                </c:pt>
                <c:pt idx="882">
                  <c:v>27000.960000000006</c:v>
                </c:pt>
                <c:pt idx="883">
                  <c:v>27018.840000000007</c:v>
                </c:pt>
                <c:pt idx="884">
                  <c:v>27029.880000000008</c:v>
                </c:pt>
                <c:pt idx="885">
                  <c:v>27035.880000000008</c:v>
                </c:pt>
                <c:pt idx="886">
                  <c:v>27050.160000000007</c:v>
                </c:pt>
                <c:pt idx="887">
                  <c:v>27065.520000000008</c:v>
                </c:pt>
                <c:pt idx="888">
                  <c:v>27074.400000000009</c:v>
                </c:pt>
                <c:pt idx="889">
                  <c:v>27090.840000000007</c:v>
                </c:pt>
                <c:pt idx="890">
                  <c:v>27105.120000000006</c:v>
                </c:pt>
                <c:pt idx="891">
                  <c:v>27123.000000000007</c:v>
                </c:pt>
                <c:pt idx="892">
                  <c:v>27139.440000000006</c:v>
                </c:pt>
                <c:pt idx="893">
                  <c:v>27160.200000000004</c:v>
                </c:pt>
                <c:pt idx="894">
                  <c:v>27181.680000000004</c:v>
                </c:pt>
                <c:pt idx="895">
                  <c:v>27212.160000000003</c:v>
                </c:pt>
                <c:pt idx="896">
                  <c:v>27240.840000000004</c:v>
                </c:pt>
                <c:pt idx="897">
                  <c:v>27272.400000000005</c:v>
                </c:pt>
                <c:pt idx="898">
                  <c:v>27304.680000000004</c:v>
                </c:pt>
                <c:pt idx="899">
                  <c:v>27330.480000000003</c:v>
                </c:pt>
                <c:pt idx="900">
                  <c:v>27356.280000000002</c:v>
                </c:pt>
                <c:pt idx="901">
                  <c:v>27377.4</c:v>
                </c:pt>
                <c:pt idx="902">
                  <c:v>27406.440000000002</c:v>
                </c:pt>
                <c:pt idx="903">
                  <c:v>27433.320000000003</c:v>
                </c:pt>
                <c:pt idx="904">
                  <c:v>27455.160000000003</c:v>
                </c:pt>
                <c:pt idx="905">
                  <c:v>27475.560000000005</c:v>
                </c:pt>
                <c:pt idx="906">
                  <c:v>27489.480000000003</c:v>
                </c:pt>
                <c:pt idx="907">
                  <c:v>27503.040000000005</c:v>
                </c:pt>
                <c:pt idx="908">
                  <c:v>27521.280000000006</c:v>
                </c:pt>
                <c:pt idx="909">
                  <c:v>27546.000000000007</c:v>
                </c:pt>
                <c:pt idx="910">
                  <c:v>27573.960000000006</c:v>
                </c:pt>
                <c:pt idx="911">
                  <c:v>27596.160000000007</c:v>
                </c:pt>
                <c:pt idx="912">
                  <c:v>27619.800000000007</c:v>
                </c:pt>
                <c:pt idx="913">
                  <c:v>27644.880000000008</c:v>
                </c:pt>
                <c:pt idx="914">
                  <c:v>27668.160000000007</c:v>
                </c:pt>
                <c:pt idx="915">
                  <c:v>27698.640000000007</c:v>
                </c:pt>
                <c:pt idx="916">
                  <c:v>27729.840000000007</c:v>
                </c:pt>
                <c:pt idx="917">
                  <c:v>27760.680000000008</c:v>
                </c:pt>
                <c:pt idx="918">
                  <c:v>27798.360000000008</c:v>
                </c:pt>
                <c:pt idx="919">
                  <c:v>27826.680000000008</c:v>
                </c:pt>
                <c:pt idx="920">
                  <c:v>27845.280000000006</c:v>
                </c:pt>
                <c:pt idx="921">
                  <c:v>27865.320000000007</c:v>
                </c:pt>
                <c:pt idx="922">
                  <c:v>27884.640000000007</c:v>
                </c:pt>
                <c:pt idx="923">
                  <c:v>27903.960000000006</c:v>
                </c:pt>
                <c:pt idx="924">
                  <c:v>27920.400000000005</c:v>
                </c:pt>
                <c:pt idx="925">
                  <c:v>27935.400000000005</c:v>
                </c:pt>
                <c:pt idx="926">
                  <c:v>27952.200000000004</c:v>
                </c:pt>
                <c:pt idx="927">
                  <c:v>27983.040000000005</c:v>
                </c:pt>
                <c:pt idx="928">
                  <c:v>28011.000000000004</c:v>
                </c:pt>
                <c:pt idx="929">
                  <c:v>28042.560000000005</c:v>
                </c:pt>
                <c:pt idx="930">
                  <c:v>28069.800000000007</c:v>
                </c:pt>
                <c:pt idx="931">
                  <c:v>28099.200000000008</c:v>
                </c:pt>
                <c:pt idx="932">
                  <c:v>28134.000000000007</c:v>
                </c:pt>
                <c:pt idx="933">
                  <c:v>28164.120000000006</c:v>
                </c:pt>
                <c:pt idx="934">
                  <c:v>28183.800000000007</c:v>
                </c:pt>
                <c:pt idx="935">
                  <c:v>28204.200000000008</c:v>
                </c:pt>
                <c:pt idx="936">
                  <c:v>28235.400000000009</c:v>
                </c:pt>
                <c:pt idx="937">
                  <c:v>28272.000000000007</c:v>
                </c:pt>
                <c:pt idx="938">
                  <c:v>28315.080000000009</c:v>
                </c:pt>
                <c:pt idx="939">
                  <c:v>28364.28000000001</c:v>
                </c:pt>
                <c:pt idx="940">
                  <c:v>28408.80000000001</c:v>
                </c:pt>
                <c:pt idx="941">
                  <c:v>28450.80000000001</c:v>
                </c:pt>
                <c:pt idx="942">
                  <c:v>28483.80000000001</c:v>
                </c:pt>
                <c:pt idx="943">
                  <c:v>28525.80000000001</c:v>
                </c:pt>
                <c:pt idx="944">
                  <c:v>28575.720000000008</c:v>
                </c:pt>
                <c:pt idx="945">
                  <c:v>28622.400000000009</c:v>
                </c:pt>
                <c:pt idx="946">
                  <c:v>28667.64000000001</c:v>
                </c:pt>
                <c:pt idx="947">
                  <c:v>28711.080000000009</c:v>
                </c:pt>
                <c:pt idx="948">
                  <c:v>28759.920000000009</c:v>
                </c:pt>
                <c:pt idx="949">
                  <c:v>28801.920000000009</c:v>
                </c:pt>
                <c:pt idx="950">
                  <c:v>28844.28000000001</c:v>
                </c:pt>
                <c:pt idx="951">
                  <c:v>28892.760000000009</c:v>
                </c:pt>
                <c:pt idx="952">
                  <c:v>28947.360000000008</c:v>
                </c:pt>
                <c:pt idx="953">
                  <c:v>29004.120000000006</c:v>
                </c:pt>
                <c:pt idx="954">
                  <c:v>29060.880000000005</c:v>
                </c:pt>
                <c:pt idx="955">
                  <c:v>29112.240000000005</c:v>
                </c:pt>
                <c:pt idx="956">
                  <c:v>29166.120000000006</c:v>
                </c:pt>
                <c:pt idx="957">
                  <c:v>29220.360000000008</c:v>
                </c:pt>
                <c:pt idx="958">
                  <c:v>29275.680000000008</c:v>
                </c:pt>
                <c:pt idx="959">
                  <c:v>29328.120000000006</c:v>
                </c:pt>
                <c:pt idx="960">
                  <c:v>29382.720000000005</c:v>
                </c:pt>
                <c:pt idx="961">
                  <c:v>29430.480000000003</c:v>
                </c:pt>
                <c:pt idx="962">
                  <c:v>29470.680000000004</c:v>
                </c:pt>
                <c:pt idx="963">
                  <c:v>29523.120000000003</c:v>
                </c:pt>
                <c:pt idx="964">
                  <c:v>29567.280000000002</c:v>
                </c:pt>
                <c:pt idx="965">
                  <c:v>29614.680000000004</c:v>
                </c:pt>
                <c:pt idx="966">
                  <c:v>29673.600000000002</c:v>
                </c:pt>
                <c:pt idx="967">
                  <c:v>29729.640000000003</c:v>
                </c:pt>
                <c:pt idx="968">
                  <c:v>29779.920000000002</c:v>
                </c:pt>
                <c:pt idx="969">
                  <c:v>29837.760000000002</c:v>
                </c:pt>
                <c:pt idx="970">
                  <c:v>29900.640000000003</c:v>
                </c:pt>
                <c:pt idx="971">
                  <c:v>29969.280000000002</c:v>
                </c:pt>
                <c:pt idx="972">
                  <c:v>30039.72</c:v>
                </c:pt>
                <c:pt idx="973">
                  <c:v>30109.440000000002</c:v>
                </c:pt>
                <c:pt idx="974">
                  <c:v>30173.4</c:v>
                </c:pt>
                <c:pt idx="975">
                  <c:v>30227.280000000002</c:v>
                </c:pt>
                <c:pt idx="976">
                  <c:v>30279.360000000004</c:v>
                </c:pt>
                <c:pt idx="977">
                  <c:v>30333.600000000006</c:v>
                </c:pt>
                <c:pt idx="978">
                  <c:v>30385.680000000008</c:v>
                </c:pt>
                <c:pt idx="979">
                  <c:v>30451.800000000007</c:v>
                </c:pt>
                <c:pt idx="980">
                  <c:v>30520.800000000007</c:v>
                </c:pt>
                <c:pt idx="981">
                  <c:v>30571.800000000007</c:v>
                </c:pt>
                <c:pt idx="982">
                  <c:v>30624.240000000005</c:v>
                </c:pt>
                <c:pt idx="983">
                  <c:v>30686.760000000006</c:v>
                </c:pt>
                <c:pt idx="984">
                  <c:v>30740.640000000007</c:v>
                </c:pt>
                <c:pt idx="985">
                  <c:v>30796.680000000008</c:v>
                </c:pt>
                <c:pt idx="986">
                  <c:v>30856.320000000007</c:v>
                </c:pt>
                <c:pt idx="987">
                  <c:v>30921.000000000007</c:v>
                </c:pt>
                <c:pt idx="988">
                  <c:v>30997.920000000006</c:v>
                </c:pt>
                <c:pt idx="989">
                  <c:v>31071.960000000006</c:v>
                </c:pt>
                <c:pt idx="990">
                  <c:v>31135.920000000006</c:v>
                </c:pt>
                <c:pt idx="991">
                  <c:v>31191.600000000006</c:v>
                </c:pt>
                <c:pt idx="992">
                  <c:v>31241.520000000004</c:v>
                </c:pt>
                <c:pt idx="993">
                  <c:v>31288.920000000006</c:v>
                </c:pt>
                <c:pt idx="994">
                  <c:v>31331.280000000006</c:v>
                </c:pt>
                <c:pt idx="995">
                  <c:v>31387.320000000007</c:v>
                </c:pt>
                <c:pt idx="996">
                  <c:v>31455.600000000006</c:v>
                </c:pt>
                <c:pt idx="997">
                  <c:v>31522.440000000006</c:v>
                </c:pt>
                <c:pt idx="998">
                  <c:v>31585.320000000007</c:v>
                </c:pt>
                <c:pt idx="999">
                  <c:v>31654.680000000008</c:v>
                </c:pt>
                <c:pt idx="1000">
                  <c:v>31718.280000000006</c:v>
                </c:pt>
                <c:pt idx="1001">
                  <c:v>31752.720000000005</c:v>
                </c:pt>
                <c:pt idx="1002">
                  <c:v>31797.960000000006</c:v>
                </c:pt>
                <c:pt idx="1003">
                  <c:v>31850.040000000008</c:v>
                </c:pt>
                <c:pt idx="1004">
                  <c:v>31903.560000000009</c:v>
                </c:pt>
                <c:pt idx="1005">
                  <c:v>31950.600000000009</c:v>
                </c:pt>
                <c:pt idx="1006">
                  <c:v>31991.520000000008</c:v>
                </c:pt>
                <c:pt idx="1007">
                  <c:v>32032.800000000007</c:v>
                </c:pt>
                <c:pt idx="1008">
                  <c:v>32084.160000000007</c:v>
                </c:pt>
                <c:pt idx="1009">
                  <c:v>32140.920000000006</c:v>
                </c:pt>
                <c:pt idx="1010">
                  <c:v>32184.720000000005</c:v>
                </c:pt>
                <c:pt idx="1011">
                  <c:v>32234.280000000006</c:v>
                </c:pt>
                <c:pt idx="1012">
                  <c:v>32286.720000000005</c:v>
                </c:pt>
                <c:pt idx="1013">
                  <c:v>32343.480000000003</c:v>
                </c:pt>
                <c:pt idx="1014">
                  <c:v>32411.760000000002</c:v>
                </c:pt>
                <c:pt idx="1015">
                  <c:v>32482.560000000001</c:v>
                </c:pt>
                <c:pt idx="1016">
                  <c:v>32553.72</c:v>
                </c:pt>
                <c:pt idx="1017">
                  <c:v>32616.600000000002</c:v>
                </c:pt>
                <c:pt idx="1018">
                  <c:v>32680.560000000001</c:v>
                </c:pt>
                <c:pt idx="1019">
                  <c:v>32737.32</c:v>
                </c:pt>
                <c:pt idx="1020">
                  <c:v>32797.32</c:v>
                </c:pt>
                <c:pt idx="1021">
                  <c:v>32862.720000000001</c:v>
                </c:pt>
                <c:pt idx="1022">
                  <c:v>32931.72</c:v>
                </c:pt>
                <c:pt idx="1023">
                  <c:v>33003.96</c:v>
                </c:pt>
                <c:pt idx="1024">
                  <c:v>33060.36</c:v>
                </c:pt>
                <c:pt idx="1025">
                  <c:v>33106.68</c:v>
                </c:pt>
                <c:pt idx="1026">
                  <c:v>33158.400000000001</c:v>
                </c:pt>
                <c:pt idx="1027">
                  <c:v>33220.200000000004</c:v>
                </c:pt>
                <c:pt idx="1028">
                  <c:v>33281.640000000007</c:v>
                </c:pt>
                <c:pt idx="1029">
                  <c:v>33327.600000000006</c:v>
                </c:pt>
                <c:pt idx="1030">
                  <c:v>33365.640000000007</c:v>
                </c:pt>
                <c:pt idx="1031">
                  <c:v>33417.000000000007</c:v>
                </c:pt>
                <c:pt idx="1032">
                  <c:v>33468.000000000007</c:v>
                </c:pt>
                <c:pt idx="1033">
                  <c:v>33518.640000000007</c:v>
                </c:pt>
                <c:pt idx="1034">
                  <c:v>33578.280000000006</c:v>
                </c:pt>
                <c:pt idx="1035">
                  <c:v>33638.640000000007</c:v>
                </c:pt>
                <c:pt idx="1036">
                  <c:v>33705.480000000003</c:v>
                </c:pt>
                <c:pt idx="1037">
                  <c:v>33779.880000000005</c:v>
                </c:pt>
                <c:pt idx="1038">
                  <c:v>33860.040000000008</c:v>
                </c:pt>
                <c:pt idx="1039">
                  <c:v>33929.760000000009</c:v>
                </c:pt>
                <c:pt idx="1040">
                  <c:v>34000.200000000012</c:v>
                </c:pt>
                <c:pt idx="1041">
                  <c:v>34073.520000000011</c:v>
                </c:pt>
                <c:pt idx="1042">
                  <c:v>34143.600000000013</c:v>
                </c:pt>
                <c:pt idx="1043">
                  <c:v>34203.240000000013</c:v>
                </c:pt>
                <c:pt idx="1044">
                  <c:v>34263.960000000014</c:v>
                </c:pt>
                <c:pt idx="1045">
                  <c:v>34334.040000000015</c:v>
                </c:pt>
                <c:pt idx="1046">
                  <c:v>34409.160000000018</c:v>
                </c:pt>
                <c:pt idx="1047">
                  <c:v>34480.680000000015</c:v>
                </c:pt>
                <c:pt idx="1048">
                  <c:v>34539.960000000014</c:v>
                </c:pt>
                <c:pt idx="1049">
                  <c:v>34611.120000000017</c:v>
                </c:pt>
                <c:pt idx="1050">
                  <c:v>34678.320000000014</c:v>
                </c:pt>
                <c:pt idx="1051">
                  <c:v>34750.560000000012</c:v>
                </c:pt>
                <c:pt idx="1052">
                  <c:v>34823.520000000011</c:v>
                </c:pt>
                <c:pt idx="1053">
                  <c:v>34896.12000000001</c:v>
                </c:pt>
                <c:pt idx="1054">
                  <c:v>34974.12000000001</c:v>
                </c:pt>
                <c:pt idx="1055">
                  <c:v>35056.44000000001</c:v>
                </c:pt>
                <c:pt idx="1056">
                  <c:v>35144.880000000012</c:v>
                </c:pt>
                <c:pt idx="1057">
                  <c:v>35243.400000000009</c:v>
                </c:pt>
                <c:pt idx="1058">
                  <c:v>35345.880000000012</c:v>
                </c:pt>
                <c:pt idx="1059">
                  <c:v>35452.680000000015</c:v>
                </c:pt>
                <c:pt idx="1060">
                  <c:v>35557.320000000014</c:v>
                </c:pt>
                <c:pt idx="1061">
                  <c:v>35657.280000000013</c:v>
                </c:pt>
                <c:pt idx="1062">
                  <c:v>35746.80000000001</c:v>
                </c:pt>
                <c:pt idx="1063">
                  <c:v>35832.360000000008</c:v>
                </c:pt>
                <c:pt idx="1064">
                  <c:v>35915.400000000009</c:v>
                </c:pt>
                <c:pt idx="1065">
                  <c:v>35986.920000000006</c:v>
                </c:pt>
                <c:pt idx="1066">
                  <c:v>36055.560000000005</c:v>
                </c:pt>
                <c:pt idx="1067">
                  <c:v>36111.240000000005</c:v>
                </c:pt>
                <c:pt idx="1068">
                  <c:v>36159.720000000008</c:v>
                </c:pt>
                <c:pt idx="1069">
                  <c:v>36208.200000000012</c:v>
                </c:pt>
                <c:pt idx="1070">
                  <c:v>36248.400000000009</c:v>
                </c:pt>
                <c:pt idx="1071">
                  <c:v>36278.880000000012</c:v>
                </c:pt>
                <c:pt idx="1072">
                  <c:v>36319.44000000001</c:v>
                </c:pt>
                <c:pt idx="1073">
                  <c:v>36355.320000000007</c:v>
                </c:pt>
                <c:pt idx="1074">
                  <c:v>36405.960000000006</c:v>
                </c:pt>
                <c:pt idx="1075">
                  <c:v>36454.080000000009</c:v>
                </c:pt>
                <c:pt idx="1076">
                  <c:v>36509.760000000009</c:v>
                </c:pt>
                <c:pt idx="1077">
                  <c:v>36591.000000000007</c:v>
                </c:pt>
                <c:pt idx="1078">
                  <c:v>36677.280000000006</c:v>
                </c:pt>
                <c:pt idx="1079">
                  <c:v>36763.560000000005</c:v>
                </c:pt>
                <c:pt idx="1080">
                  <c:v>36834.720000000008</c:v>
                </c:pt>
                <c:pt idx="1081">
                  <c:v>36902.640000000007</c:v>
                </c:pt>
                <c:pt idx="1082">
                  <c:v>36968.040000000008</c:v>
                </c:pt>
                <c:pt idx="1083">
                  <c:v>37026.600000000006</c:v>
                </c:pt>
                <c:pt idx="1084">
                  <c:v>37083.000000000007</c:v>
                </c:pt>
                <c:pt idx="1085">
                  <c:v>37138.680000000008</c:v>
                </c:pt>
                <c:pt idx="1086">
                  <c:v>37195.80000000001</c:v>
                </c:pt>
                <c:pt idx="1087">
                  <c:v>37247.160000000011</c:v>
                </c:pt>
                <c:pt idx="1088">
                  <c:v>37297.44000000001</c:v>
                </c:pt>
                <c:pt idx="1089">
                  <c:v>37341.240000000013</c:v>
                </c:pt>
                <c:pt idx="1090">
                  <c:v>37386.12000000001</c:v>
                </c:pt>
                <c:pt idx="1091">
                  <c:v>37428.12000000001</c:v>
                </c:pt>
                <c:pt idx="1092">
                  <c:v>37474.44000000001</c:v>
                </c:pt>
                <c:pt idx="1093">
                  <c:v>37519.320000000007</c:v>
                </c:pt>
                <c:pt idx="1094">
                  <c:v>37542.240000000005</c:v>
                </c:pt>
                <c:pt idx="1095">
                  <c:v>37563.360000000008</c:v>
                </c:pt>
                <c:pt idx="1096">
                  <c:v>37588.44000000001</c:v>
                </c:pt>
                <c:pt idx="1097">
                  <c:v>37632.600000000013</c:v>
                </c:pt>
                <c:pt idx="1098">
                  <c:v>37665.600000000013</c:v>
                </c:pt>
                <c:pt idx="1099">
                  <c:v>37701.12000000001</c:v>
                </c:pt>
                <c:pt idx="1100">
                  <c:v>37728.360000000008</c:v>
                </c:pt>
                <c:pt idx="1101">
                  <c:v>37741.560000000005</c:v>
                </c:pt>
                <c:pt idx="1102">
                  <c:v>37757.640000000007</c:v>
                </c:pt>
                <c:pt idx="1103">
                  <c:v>37763.640000000007</c:v>
                </c:pt>
                <c:pt idx="1104">
                  <c:v>37778.280000000006</c:v>
                </c:pt>
                <c:pt idx="1105">
                  <c:v>37796.160000000003</c:v>
                </c:pt>
                <c:pt idx="1106">
                  <c:v>37811.520000000004</c:v>
                </c:pt>
                <c:pt idx="1107">
                  <c:v>37829.4</c:v>
                </c:pt>
                <c:pt idx="1108">
                  <c:v>37846.92</c:v>
                </c:pt>
                <c:pt idx="1109">
                  <c:v>37864.439999999995</c:v>
                </c:pt>
                <c:pt idx="1110">
                  <c:v>37874.759999999995</c:v>
                </c:pt>
                <c:pt idx="1111">
                  <c:v>37880.759999999995</c:v>
                </c:pt>
                <c:pt idx="1112">
                  <c:v>37886.759999999995</c:v>
                </c:pt>
                <c:pt idx="1113">
                  <c:v>37892.759999999995</c:v>
                </c:pt>
                <c:pt idx="1114">
                  <c:v>37898.759999999995</c:v>
                </c:pt>
                <c:pt idx="1115">
                  <c:v>37907.999999999993</c:v>
                </c:pt>
                <c:pt idx="1116">
                  <c:v>37917.959999999992</c:v>
                </c:pt>
                <c:pt idx="1117">
                  <c:v>37939.439999999995</c:v>
                </c:pt>
                <c:pt idx="1118">
                  <c:v>37965.24</c:v>
                </c:pt>
                <c:pt idx="1119">
                  <c:v>37976.28</c:v>
                </c:pt>
                <c:pt idx="1120">
                  <c:v>37982.28</c:v>
                </c:pt>
                <c:pt idx="1121">
                  <c:v>37988.28</c:v>
                </c:pt>
                <c:pt idx="1122">
                  <c:v>38002.92</c:v>
                </c:pt>
                <c:pt idx="1123">
                  <c:v>38013.96</c:v>
                </c:pt>
                <c:pt idx="1124">
                  <c:v>38026.080000000002</c:v>
                </c:pt>
                <c:pt idx="1125">
                  <c:v>38040.720000000001</c:v>
                </c:pt>
                <c:pt idx="1126">
                  <c:v>38056.080000000002</c:v>
                </c:pt>
                <c:pt idx="1127">
                  <c:v>38071.800000000003</c:v>
                </c:pt>
                <c:pt idx="1128">
                  <c:v>38081.040000000001</c:v>
                </c:pt>
                <c:pt idx="1129">
                  <c:v>38087.040000000001</c:v>
                </c:pt>
                <c:pt idx="1130">
                  <c:v>38093.040000000001</c:v>
                </c:pt>
                <c:pt idx="1131">
                  <c:v>38099.040000000001</c:v>
                </c:pt>
                <c:pt idx="1132">
                  <c:v>38106.480000000003</c:v>
                </c:pt>
                <c:pt idx="1133">
                  <c:v>38112.480000000003</c:v>
                </c:pt>
                <c:pt idx="1134">
                  <c:v>38118.480000000003</c:v>
                </c:pt>
                <c:pt idx="1135">
                  <c:v>38124.480000000003</c:v>
                </c:pt>
                <c:pt idx="1136">
                  <c:v>38141.280000000006</c:v>
                </c:pt>
                <c:pt idx="1137">
                  <c:v>38164.200000000004</c:v>
                </c:pt>
                <c:pt idx="1138">
                  <c:v>38182.44</c:v>
                </c:pt>
                <c:pt idx="1139">
                  <c:v>38198.160000000003</c:v>
                </c:pt>
                <c:pt idx="1140">
                  <c:v>38214.960000000006</c:v>
                </c:pt>
                <c:pt idx="1141">
                  <c:v>38225.640000000007</c:v>
                </c:pt>
                <c:pt idx="1142">
                  <c:v>38233.80000000001</c:v>
                </c:pt>
                <c:pt idx="1143">
                  <c:v>38239.80000000001</c:v>
                </c:pt>
                <c:pt idx="1144">
                  <c:v>38245.80000000001</c:v>
                </c:pt>
                <c:pt idx="1145">
                  <c:v>38251.80000000001</c:v>
                </c:pt>
                <c:pt idx="1146">
                  <c:v>38257.80000000001</c:v>
                </c:pt>
                <c:pt idx="1147">
                  <c:v>38263.80000000001</c:v>
                </c:pt>
                <c:pt idx="1148">
                  <c:v>38269.80000000001</c:v>
                </c:pt>
                <c:pt idx="1149">
                  <c:v>38275.80000000001</c:v>
                </c:pt>
                <c:pt idx="1150">
                  <c:v>38281.80000000001</c:v>
                </c:pt>
                <c:pt idx="1151">
                  <c:v>38287.80000000001</c:v>
                </c:pt>
                <c:pt idx="1152">
                  <c:v>38293.80000000001</c:v>
                </c:pt>
                <c:pt idx="1153">
                  <c:v>38299.80000000001</c:v>
                </c:pt>
                <c:pt idx="1154">
                  <c:v>38305.80000000001</c:v>
                </c:pt>
                <c:pt idx="1155">
                  <c:v>38311.80000000001</c:v>
                </c:pt>
                <c:pt idx="1156">
                  <c:v>38317.80000000001</c:v>
                </c:pt>
                <c:pt idx="1157">
                  <c:v>38323.80000000001</c:v>
                </c:pt>
                <c:pt idx="1158">
                  <c:v>38329.80000000001</c:v>
                </c:pt>
                <c:pt idx="1159">
                  <c:v>38335.80000000001</c:v>
                </c:pt>
                <c:pt idx="1160">
                  <c:v>38341.80000000001</c:v>
                </c:pt>
                <c:pt idx="1161">
                  <c:v>38347.80000000001</c:v>
                </c:pt>
                <c:pt idx="1162">
                  <c:v>38353.80000000001</c:v>
                </c:pt>
                <c:pt idx="1163">
                  <c:v>38359.80000000001</c:v>
                </c:pt>
                <c:pt idx="1164">
                  <c:v>38365.80000000001</c:v>
                </c:pt>
                <c:pt idx="1165">
                  <c:v>38379.360000000008</c:v>
                </c:pt>
                <c:pt idx="1166">
                  <c:v>38392.560000000005</c:v>
                </c:pt>
                <c:pt idx="1167">
                  <c:v>38398.560000000005</c:v>
                </c:pt>
                <c:pt idx="1168">
                  <c:v>38404.560000000005</c:v>
                </c:pt>
                <c:pt idx="1169">
                  <c:v>38410.560000000005</c:v>
                </c:pt>
                <c:pt idx="1170">
                  <c:v>38416.560000000005</c:v>
                </c:pt>
                <c:pt idx="1171">
                  <c:v>38422.560000000005</c:v>
                </c:pt>
                <c:pt idx="1172">
                  <c:v>38428.560000000005</c:v>
                </c:pt>
                <c:pt idx="1173">
                  <c:v>38434.560000000005</c:v>
                </c:pt>
                <c:pt idx="1174">
                  <c:v>38457.480000000003</c:v>
                </c:pt>
                <c:pt idx="1175">
                  <c:v>38478.960000000006</c:v>
                </c:pt>
                <c:pt idx="1176">
                  <c:v>38495.400000000009</c:v>
                </c:pt>
                <c:pt idx="1177">
                  <c:v>38507.160000000011</c:v>
                </c:pt>
                <c:pt idx="1178">
                  <c:v>38513.520000000011</c:v>
                </c:pt>
                <c:pt idx="1179">
                  <c:v>38521.320000000014</c:v>
                </c:pt>
                <c:pt idx="1180">
                  <c:v>38527.680000000015</c:v>
                </c:pt>
                <c:pt idx="1181">
                  <c:v>38533.680000000015</c:v>
                </c:pt>
                <c:pt idx="1182">
                  <c:v>38539.680000000015</c:v>
                </c:pt>
                <c:pt idx="1183">
                  <c:v>38553.600000000013</c:v>
                </c:pt>
                <c:pt idx="1184">
                  <c:v>38563.200000000012</c:v>
                </c:pt>
                <c:pt idx="1185">
                  <c:v>38569.200000000012</c:v>
                </c:pt>
                <c:pt idx="1186">
                  <c:v>38575.200000000012</c:v>
                </c:pt>
                <c:pt idx="1187">
                  <c:v>38581.200000000012</c:v>
                </c:pt>
                <c:pt idx="1188">
                  <c:v>38587.200000000012</c:v>
                </c:pt>
                <c:pt idx="1189">
                  <c:v>38593.200000000012</c:v>
                </c:pt>
                <c:pt idx="1190">
                  <c:v>38599.200000000012</c:v>
                </c:pt>
                <c:pt idx="1191">
                  <c:v>38605.200000000012</c:v>
                </c:pt>
                <c:pt idx="1192">
                  <c:v>38611.200000000012</c:v>
                </c:pt>
                <c:pt idx="1193">
                  <c:v>38620.44000000001</c:v>
                </c:pt>
                <c:pt idx="1194">
                  <c:v>38630.400000000009</c:v>
                </c:pt>
                <c:pt idx="1195">
                  <c:v>38636.400000000009</c:v>
                </c:pt>
                <c:pt idx="1196">
                  <c:v>38642.400000000009</c:v>
                </c:pt>
                <c:pt idx="1197">
                  <c:v>38648.400000000009</c:v>
                </c:pt>
                <c:pt idx="1198">
                  <c:v>38654.400000000009</c:v>
                </c:pt>
                <c:pt idx="1199">
                  <c:v>38660.400000000009</c:v>
                </c:pt>
                <c:pt idx="1200">
                  <c:v>38666.400000000009</c:v>
                </c:pt>
                <c:pt idx="1201">
                  <c:v>38672.400000000009</c:v>
                </c:pt>
                <c:pt idx="1202">
                  <c:v>38678.400000000009</c:v>
                </c:pt>
                <c:pt idx="1203">
                  <c:v>38684.400000000009</c:v>
                </c:pt>
                <c:pt idx="1204">
                  <c:v>38690.400000000009</c:v>
                </c:pt>
                <c:pt idx="1205">
                  <c:v>38696.400000000009</c:v>
                </c:pt>
                <c:pt idx="1206">
                  <c:v>38702.400000000009</c:v>
                </c:pt>
                <c:pt idx="1207">
                  <c:v>38708.400000000009</c:v>
                </c:pt>
                <c:pt idx="1208">
                  <c:v>38714.400000000009</c:v>
                </c:pt>
                <c:pt idx="1209">
                  <c:v>38720.400000000009</c:v>
                </c:pt>
                <c:pt idx="1210">
                  <c:v>38726.400000000009</c:v>
                </c:pt>
                <c:pt idx="1211">
                  <c:v>38732.400000000009</c:v>
                </c:pt>
                <c:pt idx="1212">
                  <c:v>38738.400000000009</c:v>
                </c:pt>
                <c:pt idx="1213">
                  <c:v>38744.400000000009</c:v>
                </c:pt>
                <c:pt idx="1214">
                  <c:v>38750.400000000009</c:v>
                </c:pt>
                <c:pt idx="1215">
                  <c:v>38756.400000000009</c:v>
                </c:pt>
                <c:pt idx="1216">
                  <c:v>38762.400000000009</c:v>
                </c:pt>
                <c:pt idx="1217">
                  <c:v>38768.400000000009</c:v>
                </c:pt>
                <c:pt idx="1218">
                  <c:v>38774.400000000009</c:v>
                </c:pt>
                <c:pt idx="1219">
                  <c:v>38780.400000000009</c:v>
                </c:pt>
                <c:pt idx="1220">
                  <c:v>38786.400000000009</c:v>
                </c:pt>
                <c:pt idx="1221">
                  <c:v>38792.400000000009</c:v>
                </c:pt>
                <c:pt idx="1222">
                  <c:v>38798.400000000009</c:v>
                </c:pt>
                <c:pt idx="1223">
                  <c:v>38804.400000000009</c:v>
                </c:pt>
                <c:pt idx="1224">
                  <c:v>38810.400000000009</c:v>
                </c:pt>
                <c:pt idx="1225">
                  <c:v>38816.400000000009</c:v>
                </c:pt>
                <c:pt idx="1226">
                  <c:v>38822.400000000009</c:v>
                </c:pt>
                <c:pt idx="1227">
                  <c:v>38828.400000000009</c:v>
                </c:pt>
                <c:pt idx="1228">
                  <c:v>38834.400000000009</c:v>
                </c:pt>
                <c:pt idx="1229">
                  <c:v>38840.400000000009</c:v>
                </c:pt>
                <c:pt idx="1230">
                  <c:v>38846.400000000009</c:v>
                </c:pt>
                <c:pt idx="1231">
                  <c:v>38852.400000000009</c:v>
                </c:pt>
                <c:pt idx="1232">
                  <c:v>38858.400000000009</c:v>
                </c:pt>
                <c:pt idx="1233">
                  <c:v>38864.400000000009</c:v>
                </c:pt>
                <c:pt idx="1234">
                  <c:v>38870.400000000009</c:v>
                </c:pt>
                <c:pt idx="1235">
                  <c:v>38876.400000000009</c:v>
                </c:pt>
                <c:pt idx="1236">
                  <c:v>38882.400000000009</c:v>
                </c:pt>
                <c:pt idx="1237">
                  <c:v>38888.400000000009</c:v>
                </c:pt>
                <c:pt idx="1238">
                  <c:v>38895.12000000001</c:v>
                </c:pt>
                <c:pt idx="1239">
                  <c:v>38907.600000000013</c:v>
                </c:pt>
                <c:pt idx="1240">
                  <c:v>38913.600000000013</c:v>
                </c:pt>
                <c:pt idx="1241">
                  <c:v>38919.600000000013</c:v>
                </c:pt>
                <c:pt idx="1242">
                  <c:v>38925.600000000013</c:v>
                </c:pt>
                <c:pt idx="1243">
                  <c:v>38931.600000000013</c:v>
                </c:pt>
                <c:pt idx="1244">
                  <c:v>38941.920000000013</c:v>
                </c:pt>
                <c:pt idx="1245">
                  <c:v>38958.000000000015</c:v>
                </c:pt>
                <c:pt idx="1246">
                  <c:v>38965.800000000017</c:v>
                </c:pt>
                <c:pt idx="1247">
                  <c:v>38971.800000000017</c:v>
                </c:pt>
                <c:pt idx="1248">
                  <c:v>38977.800000000017</c:v>
                </c:pt>
                <c:pt idx="1249">
                  <c:v>38983.800000000017</c:v>
                </c:pt>
                <c:pt idx="1250">
                  <c:v>38989.800000000017</c:v>
                </c:pt>
                <c:pt idx="1251">
                  <c:v>38995.800000000017</c:v>
                </c:pt>
                <c:pt idx="1252">
                  <c:v>39001.800000000017</c:v>
                </c:pt>
                <c:pt idx="1253">
                  <c:v>39007.800000000017</c:v>
                </c:pt>
                <c:pt idx="1254">
                  <c:v>39013.800000000017</c:v>
                </c:pt>
                <c:pt idx="1255">
                  <c:v>39019.800000000017</c:v>
                </c:pt>
                <c:pt idx="1256">
                  <c:v>39025.800000000017</c:v>
                </c:pt>
                <c:pt idx="1257">
                  <c:v>39031.800000000017</c:v>
                </c:pt>
                <c:pt idx="1258">
                  <c:v>39041.040000000015</c:v>
                </c:pt>
                <c:pt idx="1259">
                  <c:v>39051.360000000015</c:v>
                </c:pt>
                <c:pt idx="1260">
                  <c:v>39061.680000000015</c:v>
                </c:pt>
                <c:pt idx="1261">
                  <c:v>39067.680000000015</c:v>
                </c:pt>
                <c:pt idx="1262">
                  <c:v>39073.680000000015</c:v>
                </c:pt>
                <c:pt idx="1263">
                  <c:v>39079.680000000015</c:v>
                </c:pt>
                <c:pt idx="1264">
                  <c:v>39085.680000000015</c:v>
                </c:pt>
                <c:pt idx="1265">
                  <c:v>39091.680000000015</c:v>
                </c:pt>
                <c:pt idx="1266">
                  <c:v>39107.400000000016</c:v>
                </c:pt>
                <c:pt idx="1267">
                  <c:v>39125.640000000014</c:v>
                </c:pt>
                <c:pt idx="1268">
                  <c:v>39158.280000000013</c:v>
                </c:pt>
                <c:pt idx="1269">
                  <c:v>39197.040000000015</c:v>
                </c:pt>
                <c:pt idx="1270">
                  <c:v>39232.920000000013</c:v>
                </c:pt>
                <c:pt idx="1271">
                  <c:v>39250.80000000001</c:v>
                </c:pt>
                <c:pt idx="1272">
                  <c:v>39271.200000000012</c:v>
                </c:pt>
                <c:pt idx="1273">
                  <c:v>39306.000000000015</c:v>
                </c:pt>
                <c:pt idx="1274">
                  <c:v>39340.080000000016</c:v>
                </c:pt>
                <c:pt idx="1275">
                  <c:v>39382.800000000017</c:v>
                </c:pt>
                <c:pt idx="1276">
                  <c:v>39418.680000000015</c:v>
                </c:pt>
                <c:pt idx="1277">
                  <c:v>39443.040000000015</c:v>
                </c:pt>
                <c:pt idx="1278">
                  <c:v>39472.080000000016</c:v>
                </c:pt>
                <c:pt idx="1279">
                  <c:v>39501.120000000017</c:v>
                </c:pt>
                <c:pt idx="1280">
                  <c:v>39525.120000000017</c:v>
                </c:pt>
                <c:pt idx="1281">
                  <c:v>39546.24000000002</c:v>
                </c:pt>
                <c:pt idx="1282">
                  <c:v>39573.480000000018</c:v>
                </c:pt>
                <c:pt idx="1283">
                  <c:v>39604.680000000015</c:v>
                </c:pt>
                <c:pt idx="1284">
                  <c:v>39620.760000000017</c:v>
                </c:pt>
                <c:pt idx="1285">
                  <c:v>39628.200000000019</c:v>
                </c:pt>
                <c:pt idx="1286">
                  <c:v>39641.040000000015</c:v>
                </c:pt>
                <c:pt idx="1287">
                  <c:v>39656.040000000015</c:v>
                </c:pt>
                <c:pt idx="1288">
                  <c:v>39667.080000000016</c:v>
                </c:pt>
                <c:pt idx="1289">
                  <c:v>39678.120000000017</c:v>
                </c:pt>
                <c:pt idx="1290">
                  <c:v>39698.520000000019</c:v>
                </c:pt>
                <c:pt idx="1291">
                  <c:v>39725.040000000015</c:v>
                </c:pt>
                <c:pt idx="1292">
                  <c:v>39752.280000000013</c:v>
                </c:pt>
                <c:pt idx="1293">
                  <c:v>39777.000000000015</c:v>
                </c:pt>
                <c:pt idx="1294">
                  <c:v>39807.120000000017</c:v>
                </c:pt>
                <c:pt idx="1295">
                  <c:v>39843.360000000015</c:v>
                </c:pt>
                <c:pt idx="1296">
                  <c:v>39885.360000000015</c:v>
                </c:pt>
                <c:pt idx="1297">
                  <c:v>39924.120000000017</c:v>
                </c:pt>
                <c:pt idx="1298">
                  <c:v>39956.040000000015</c:v>
                </c:pt>
                <c:pt idx="1299">
                  <c:v>39982.200000000019</c:v>
                </c:pt>
                <c:pt idx="1300">
                  <c:v>40012.320000000022</c:v>
                </c:pt>
                <c:pt idx="1301">
                  <c:v>40051.080000000024</c:v>
                </c:pt>
                <c:pt idx="1302">
                  <c:v>40108.560000000027</c:v>
                </c:pt>
                <c:pt idx="1303">
                  <c:v>40154.160000000025</c:v>
                </c:pt>
                <c:pt idx="1304">
                  <c:v>40165.920000000027</c:v>
                </c:pt>
                <c:pt idx="1305">
                  <c:v>40202.160000000025</c:v>
                </c:pt>
                <c:pt idx="1306">
                  <c:v>40236.240000000027</c:v>
                </c:pt>
                <c:pt idx="1307">
                  <c:v>40274.640000000029</c:v>
                </c:pt>
                <c:pt idx="1308">
                  <c:v>40309.440000000031</c:v>
                </c:pt>
                <c:pt idx="1309">
                  <c:v>40337.400000000031</c:v>
                </c:pt>
                <c:pt idx="1310">
                  <c:v>40365.72000000003</c:v>
                </c:pt>
                <c:pt idx="1311">
                  <c:v>40393.680000000029</c:v>
                </c:pt>
                <c:pt idx="1312">
                  <c:v>40427.04000000003</c:v>
                </c:pt>
                <c:pt idx="1313">
                  <c:v>40457.880000000026</c:v>
                </c:pt>
                <c:pt idx="1314">
                  <c:v>40495.200000000026</c:v>
                </c:pt>
                <c:pt idx="1315">
                  <c:v>40530.000000000029</c:v>
                </c:pt>
                <c:pt idx="1316">
                  <c:v>40565.160000000033</c:v>
                </c:pt>
                <c:pt idx="1317">
                  <c:v>40604.640000000036</c:v>
                </c:pt>
                <c:pt idx="1318">
                  <c:v>40640.880000000034</c:v>
                </c:pt>
                <c:pt idx="1319">
                  <c:v>40685.760000000031</c:v>
                </c:pt>
                <c:pt idx="1320">
                  <c:v>40740.000000000029</c:v>
                </c:pt>
                <c:pt idx="1321">
                  <c:v>40805.04000000003</c:v>
                </c:pt>
                <c:pt idx="1322">
                  <c:v>40867.200000000033</c:v>
                </c:pt>
                <c:pt idx="1323">
                  <c:v>40935.480000000032</c:v>
                </c:pt>
                <c:pt idx="1324">
                  <c:v>41002.320000000029</c:v>
                </c:pt>
                <c:pt idx="1325">
                  <c:v>41068.800000000032</c:v>
                </c:pt>
                <c:pt idx="1326">
                  <c:v>41132.04000000003</c:v>
                </c:pt>
                <c:pt idx="1327">
                  <c:v>41192.400000000031</c:v>
                </c:pt>
                <c:pt idx="1328">
                  <c:v>41245.560000000034</c:v>
                </c:pt>
                <c:pt idx="1329">
                  <c:v>41294.040000000037</c:v>
                </c:pt>
                <c:pt idx="1330">
                  <c:v>41349.360000000037</c:v>
                </c:pt>
                <c:pt idx="1331">
                  <c:v>41406.48000000004</c:v>
                </c:pt>
                <c:pt idx="1332">
                  <c:v>41479.440000000039</c:v>
                </c:pt>
                <c:pt idx="1333">
                  <c:v>41560.320000000036</c:v>
                </c:pt>
                <c:pt idx="1334">
                  <c:v>41640.48000000004</c:v>
                </c:pt>
                <c:pt idx="1335">
                  <c:v>41715.960000000043</c:v>
                </c:pt>
                <c:pt idx="1336">
                  <c:v>41789.280000000042</c:v>
                </c:pt>
                <c:pt idx="1337">
                  <c:v>41853.600000000042</c:v>
                </c:pt>
                <c:pt idx="1338">
                  <c:v>41890.560000000041</c:v>
                </c:pt>
                <c:pt idx="1339">
                  <c:v>41934.720000000045</c:v>
                </c:pt>
                <c:pt idx="1340">
                  <c:v>41999.760000000046</c:v>
                </c:pt>
                <c:pt idx="1341">
                  <c:v>42063.360000000044</c:v>
                </c:pt>
                <c:pt idx="1342">
                  <c:v>42098.880000000041</c:v>
                </c:pt>
                <c:pt idx="1343">
                  <c:v>42141.600000000042</c:v>
                </c:pt>
                <c:pt idx="1344">
                  <c:v>42182.16000000004</c:v>
                </c:pt>
                <c:pt idx="1345">
                  <c:v>42236.040000000037</c:v>
                </c:pt>
                <c:pt idx="1346">
                  <c:v>42294.960000000036</c:v>
                </c:pt>
                <c:pt idx="1347">
                  <c:v>42358.200000000033</c:v>
                </c:pt>
                <c:pt idx="1348">
                  <c:v>42434.400000000031</c:v>
                </c:pt>
                <c:pt idx="1349">
                  <c:v>42510.600000000028</c:v>
                </c:pt>
                <c:pt idx="1350">
                  <c:v>42583.560000000027</c:v>
                </c:pt>
                <c:pt idx="1351">
                  <c:v>42659.760000000024</c:v>
                </c:pt>
                <c:pt idx="1352">
                  <c:v>42724.080000000024</c:v>
                </c:pt>
                <c:pt idx="1353">
                  <c:v>42785.520000000026</c:v>
                </c:pt>
                <c:pt idx="1354">
                  <c:v>42852.360000000022</c:v>
                </c:pt>
                <c:pt idx="1355">
                  <c:v>42916.680000000022</c:v>
                </c:pt>
                <c:pt idx="1356">
                  <c:v>42962.640000000021</c:v>
                </c:pt>
                <c:pt idx="1357">
                  <c:v>42996.360000000022</c:v>
                </c:pt>
                <c:pt idx="1358">
                  <c:v>43039.800000000025</c:v>
                </c:pt>
                <c:pt idx="1359">
                  <c:v>43098.720000000023</c:v>
                </c:pt>
                <c:pt idx="1360">
                  <c:v>43155.480000000025</c:v>
                </c:pt>
                <c:pt idx="1361">
                  <c:v>43211.160000000025</c:v>
                </c:pt>
                <c:pt idx="1362">
                  <c:v>43261.080000000024</c:v>
                </c:pt>
                <c:pt idx="1363">
                  <c:v>43312.440000000024</c:v>
                </c:pt>
                <c:pt idx="1364">
                  <c:v>43365.960000000021</c:v>
                </c:pt>
                <c:pt idx="1365">
                  <c:v>43415.880000000019</c:v>
                </c:pt>
                <c:pt idx="1366">
                  <c:v>43466.520000000019</c:v>
                </c:pt>
                <c:pt idx="1367">
                  <c:v>43512.120000000017</c:v>
                </c:pt>
                <c:pt idx="1368">
                  <c:v>43577.160000000018</c:v>
                </c:pt>
                <c:pt idx="1369">
                  <c:v>43652.280000000021</c:v>
                </c:pt>
                <c:pt idx="1370">
                  <c:v>43724.520000000019</c:v>
                </c:pt>
                <c:pt idx="1371">
                  <c:v>43776.24000000002</c:v>
                </c:pt>
                <c:pt idx="1372">
                  <c:v>43840.200000000019</c:v>
                </c:pt>
                <c:pt idx="1373">
                  <c:v>43903.800000000017</c:v>
                </c:pt>
                <c:pt idx="1374">
                  <c:v>43958.040000000015</c:v>
                </c:pt>
                <c:pt idx="1375">
                  <c:v>44021.280000000013</c:v>
                </c:pt>
                <c:pt idx="1376">
                  <c:v>44087.760000000017</c:v>
                </c:pt>
                <c:pt idx="1377">
                  <c:v>44163.960000000014</c:v>
                </c:pt>
                <c:pt idx="1378">
                  <c:v>44222.160000000011</c:v>
                </c:pt>
                <c:pt idx="1379">
                  <c:v>44273.880000000012</c:v>
                </c:pt>
                <c:pt idx="1380">
                  <c:v>44333.160000000011</c:v>
                </c:pt>
                <c:pt idx="1381">
                  <c:v>44392.44000000001</c:v>
                </c:pt>
                <c:pt idx="1382">
                  <c:v>44444.880000000012</c:v>
                </c:pt>
                <c:pt idx="1383">
                  <c:v>44492.640000000014</c:v>
                </c:pt>
                <c:pt idx="1384">
                  <c:v>44563.080000000016</c:v>
                </c:pt>
                <c:pt idx="1385">
                  <c:v>44647.200000000019</c:v>
                </c:pt>
                <c:pt idx="1386">
                  <c:v>44725.92000000002</c:v>
                </c:pt>
                <c:pt idx="1387">
                  <c:v>44811.840000000018</c:v>
                </c:pt>
                <c:pt idx="1388">
                  <c:v>44899.200000000019</c:v>
                </c:pt>
                <c:pt idx="1389">
                  <c:v>44989.440000000017</c:v>
                </c:pt>
                <c:pt idx="1390">
                  <c:v>45072.480000000018</c:v>
                </c:pt>
                <c:pt idx="1391">
                  <c:v>45153.000000000015</c:v>
                </c:pt>
                <c:pt idx="1392">
                  <c:v>45218.400000000016</c:v>
                </c:pt>
                <c:pt idx="1393">
                  <c:v>45271.920000000013</c:v>
                </c:pt>
                <c:pt idx="1394">
                  <c:v>45328.320000000014</c:v>
                </c:pt>
                <c:pt idx="1395">
                  <c:v>45390.840000000011</c:v>
                </c:pt>
                <c:pt idx="1396">
                  <c:v>45463.80000000001</c:v>
                </c:pt>
                <c:pt idx="1397">
                  <c:v>45531.720000000008</c:v>
                </c:pt>
                <c:pt idx="1398">
                  <c:v>45596.760000000009</c:v>
                </c:pt>
                <c:pt idx="1399">
                  <c:v>45654.600000000006</c:v>
                </c:pt>
                <c:pt idx="1400">
                  <c:v>45720.720000000008</c:v>
                </c:pt>
                <c:pt idx="1401">
                  <c:v>45791.880000000012</c:v>
                </c:pt>
                <c:pt idx="1402">
                  <c:v>45871.320000000014</c:v>
                </c:pt>
                <c:pt idx="1403">
                  <c:v>45942.480000000018</c:v>
                </c:pt>
                <c:pt idx="1404">
                  <c:v>46018.320000000014</c:v>
                </c:pt>
                <c:pt idx="1405">
                  <c:v>46076.520000000011</c:v>
                </c:pt>
                <c:pt idx="1406">
                  <c:v>46127.520000000011</c:v>
                </c:pt>
                <c:pt idx="1407">
                  <c:v>46174.920000000013</c:v>
                </c:pt>
                <c:pt idx="1408">
                  <c:v>46227.000000000015</c:v>
                </c:pt>
                <c:pt idx="1409">
                  <c:v>46288.080000000016</c:v>
                </c:pt>
                <c:pt idx="1410">
                  <c:v>46339.080000000016</c:v>
                </c:pt>
                <c:pt idx="1411">
                  <c:v>46388.640000000014</c:v>
                </c:pt>
                <c:pt idx="1412">
                  <c:v>46443.600000000013</c:v>
                </c:pt>
                <c:pt idx="1413">
                  <c:v>46507.560000000012</c:v>
                </c:pt>
                <c:pt idx="1414">
                  <c:v>46566.840000000011</c:v>
                </c:pt>
                <c:pt idx="1415">
                  <c:v>46627.560000000012</c:v>
                </c:pt>
                <c:pt idx="1416">
                  <c:v>46678.560000000012</c:v>
                </c:pt>
                <c:pt idx="1417">
                  <c:v>46729.560000000012</c:v>
                </c:pt>
                <c:pt idx="1418">
                  <c:v>46774.80000000001</c:v>
                </c:pt>
                <c:pt idx="1419">
                  <c:v>46826.880000000012</c:v>
                </c:pt>
                <c:pt idx="1420">
                  <c:v>46904.160000000011</c:v>
                </c:pt>
                <c:pt idx="1421">
                  <c:v>46973.520000000011</c:v>
                </c:pt>
                <c:pt idx="1422">
                  <c:v>47018.040000000008</c:v>
                </c:pt>
                <c:pt idx="1423">
                  <c:v>47057.880000000005</c:v>
                </c:pt>
                <c:pt idx="1424">
                  <c:v>47102.040000000008</c:v>
                </c:pt>
                <c:pt idx="1425">
                  <c:v>47132.520000000011</c:v>
                </c:pt>
                <c:pt idx="1426">
                  <c:v>47169.12000000001</c:v>
                </c:pt>
                <c:pt idx="1427">
                  <c:v>47221.200000000012</c:v>
                </c:pt>
                <c:pt idx="1428">
                  <c:v>47255.640000000014</c:v>
                </c:pt>
                <c:pt idx="1429">
                  <c:v>47284.320000000014</c:v>
                </c:pt>
                <c:pt idx="1430">
                  <c:v>47331.720000000016</c:v>
                </c:pt>
                <c:pt idx="1431">
                  <c:v>47376.240000000013</c:v>
                </c:pt>
                <c:pt idx="1432">
                  <c:v>47411.400000000016</c:v>
                </c:pt>
                <c:pt idx="1433">
                  <c:v>47451.240000000013</c:v>
                </c:pt>
                <c:pt idx="1434">
                  <c:v>47491.080000000009</c:v>
                </c:pt>
                <c:pt idx="1435">
                  <c:v>47532.000000000007</c:v>
                </c:pt>
                <c:pt idx="1436">
                  <c:v>47587.320000000007</c:v>
                </c:pt>
                <c:pt idx="1437">
                  <c:v>47639.760000000009</c:v>
                </c:pt>
                <c:pt idx="1438">
                  <c:v>47682.48000000001</c:v>
                </c:pt>
                <c:pt idx="1439">
                  <c:v>47728.80000000001</c:v>
                </c:pt>
                <c:pt idx="1440">
                  <c:v>47768.640000000007</c:v>
                </c:pt>
                <c:pt idx="1441">
                  <c:v>47809.200000000004</c:v>
                </c:pt>
                <c:pt idx="1442">
                  <c:v>47838.600000000006</c:v>
                </c:pt>
                <c:pt idx="1443">
                  <c:v>47886.000000000007</c:v>
                </c:pt>
                <c:pt idx="1444">
                  <c:v>47938.080000000009</c:v>
                </c:pt>
                <c:pt idx="1445">
                  <c:v>47983.320000000007</c:v>
                </c:pt>
                <c:pt idx="1446">
                  <c:v>48025.320000000007</c:v>
                </c:pt>
                <c:pt idx="1447">
                  <c:v>48056.520000000004</c:v>
                </c:pt>
                <c:pt idx="1448">
                  <c:v>48080.520000000004</c:v>
                </c:pt>
                <c:pt idx="1449">
                  <c:v>48115.680000000008</c:v>
                </c:pt>
                <c:pt idx="1450">
                  <c:v>48160.200000000004</c:v>
                </c:pt>
                <c:pt idx="1451">
                  <c:v>48207.960000000006</c:v>
                </c:pt>
                <c:pt idx="1452">
                  <c:v>48253.200000000004</c:v>
                </c:pt>
                <c:pt idx="1453">
                  <c:v>48291.240000000005</c:v>
                </c:pt>
                <c:pt idx="1454">
                  <c:v>48326.76</c:v>
                </c:pt>
                <c:pt idx="1455">
                  <c:v>48360.480000000003</c:v>
                </c:pt>
                <c:pt idx="1456">
                  <c:v>48389.880000000005</c:v>
                </c:pt>
                <c:pt idx="1457">
                  <c:v>48430.8</c:v>
                </c:pt>
                <c:pt idx="1458">
                  <c:v>48466.68</c:v>
                </c:pt>
                <c:pt idx="1459">
                  <c:v>48488.52</c:v>
                </c:pt>
                <c:pt idx="1460">
                  <c:v>48507.479999999996</c:v>
                </c:pt>
                <c:pt idx="1461">
                  <c:v>48528.24</c:v>
                </c:pt>
                <c:pt idx="1462">
                  <c:v>48552.959999999999</c:v>
                </c:pt>
                <c:pt idx="1463">
                  <c:v>48583.44</c:v>
                </c:pt>
                <c:pt idx="1464">
                  <c:v>48604.560000000005</c:v>
                </c:pt>
                <c:pt idx="1465">
                  <c:v>48633.600000000006</c:v>
                </c:pt>
                <c:pt idx="1466">
                  <c:v>48677.400000000009</c:v>
                </c:pt>
                <c:pt idx="1467">
                  <c:v>48728.040000000008</c:v>
                </c:pt>
                <c:pt idx="1468">
                  <c:v>48784.080000000009</c:v>
                </c:pt>
                <c:pt idx="1469">
                  <c:v>48835.44000000001</c:v>
                </c:pt>
                <c:pt idx="1470">
                  <c:v>48886.080000000009</c:v>
                </c:pt>
                <c:pt idx="1471">
                  <c:v>48921.600000000006</c:v>
                </c:pt>
                <c:pt idx="1472">
                  <c:v>48957.48</c:v>
                </c:pt>
                <c:pt idx="1473">
                  <c:v>48987.960000000006</c:v>
                </c:pt>
                <c:pt idx="1474">
                  <c:v>49010.520000000004</c:v>
                </c:pt>
                <c:pt idx="1475">
                  <c:v>49024.44</c:v>
                </c:pt>
                <c:pt idx="1476">
                  <c:v>49040.520000000004</c:v>
                </c:pt>
                <c:pt idx="1477">
                  <c:v>49057.680000000008</c:v>
                </c:pt>
                <c:pt idx="1478">
                  <c:v>49079.520000000004</c:v>
                </c:pt>
                <c:pt idx="1479">
                  <c:v>49103.880000000005</c:v>
                </c:pt>
                <c:pt idx="1480">
                  <c:v>49116.360000000008</c:v>
                </c:pt>
                <c:pt idx="1481">
                  <c:v>49122.360000000008</c:v>
                </c:pt>
                <c:pt idx="1482">
                  <c:v>49128.360000000008</c:v>
                </c:pt>
                <c:pt idx="1483">
                  <c:v>49155.600000000006</c:v>
                </c:pt>
                <c:pt idx="1484">
                  <c:v>49187.880000000005</c:v>
                </c:pt>
                <c:pt idx="1485">
                  <c:v>49226.280000000006</c:v>
                </c:pt>
                <c:pt idx="1486">
                  <c:v>49253.16</c:v>
                </c:pt>
                <c:pt idx="1487">
                  <c:v>49279.68</c:v>
                </c:pt>
                <c:pt idx="1488">
                  <c:v>49296.840000000004</c:v>
                </c:pt>
                <c:pt idx="1489">
                  <c:v>49331.640000000007</c:v>
                </c:pt>
                <c:pt idx="1490">
                  <c:v>49376.520000000004</c:v>
                </c:pt>
                <c:pt idx="1491">
                  <c:v>49423.560000000005</c:v>
                </c:pt>
                <c:pt idx="1492">
                  <c:v>49467.000000000007</c:v>
                </c:pt>
                <c:pt idx="1493">
                  <c:v>49509.000000000007</c:v>
                </c:pt>
                <c:pt idx="1494">
                  <c:v>49534.80000000001</c:v>
                </c:pt>
                <c:pt idx="1495">
                  <c:v>49554.12000000001</c:v>
                </c:pt>
                <c:pt idx="1496">
                  <c:v>49573.080000000009</c:v>
                </c:pt>
                <c:pt idx="1497">
                  <c:v>49601.400000000009</c:v>
                </c:pt>
                <c:pt idx="1498">
                  <c:v>49632.960000000006</c:v>
                </c:pt>
                <c:pt idx="1499">
                  <c:v>49663.080000000009</c:v>
                </c:pt>
                <c:pt idx="1500">
                  <c:v>49702.920000000006</c:v>
                </c:pt>
                <c:pt idx="1501">
                  <c:v>49748.520000000004</c:v>
                </c:pt>
                <c:pt idx="1502">
                  <c:v>49787.640000000007</c:v>
                </c:pt>
                <c:pt idx="1503">
                  <c:v>49811.640000000007</c:v>
                </c:pt>
                <c:pt idx="1504">
                  <c:v>49828.080000000009</c:v>
                </c:pt>
                <c:pt idx="1505">
                  <c:v>49834.080000000009</c:v>
                </c:pt>
                <c:pt idx="1506">
                  <c:v>49849.44000000001</c:v>
                </c:pt>
                <c:pt idx="1507">
                  <c:v>49861.920000000013</c:v>
                </c:pt>
                <c:pt idx="1508">
                  <c:v>49881.960000000014</c:v>
                </c:pt>
                <c:pt idx="1509">
                  <c:v>49902.360000000015</c:v>
                </c:pt>
                <c:pt idx="1510">
                  <c:v>49917.360000000015</c:v>
                </c:pt>
                <c:pt idx="1511">
                  <c:v>49925.520000000019</c:v>
                </c:pt>
                <c:pt idx="1512">
                  <c:v>49932.24000000002</c:v>
                </c:pt>
                <c:pt idx="1513">
                  <c:v>49938.24000000002</c:v>
                </c:pt>
                <c:pt idx="1514">
                  <c:v>49953.960000000021</c:v>
                </c:pt>
                <c:pt idx="1515">
                  <c:v>49976.520000000019</c:v>
                </c:pt>
                <c:pt idx="1516">
                  <c:v>49995.120000000017</c:v>
                </c:pt>
                <c:pt idx="1517">
                  <c:v>50001.840000000018</c:v>
                </c:pt>
                <c:pt idx="1518">
                  <c:v>50007.840000000018</c:v>
                </c:pt>
                <c:pt idx="1519">
                  <c:v>50013.840000000018</c:v>
                </c:pt>
                <c:pt idx="1520">
                  <c:v>50019.840000000018</c:v>
                </c:pt>
                <c:pt idx="1521">
                  <c:v>50025.840000000018</c:v>
                </c:pt>
                <c:pt idx="1522">
                  <c:v>50031.840000000018</c:v>
                </c:pt>
                <c:pt idx="1523">
                  <c:v>50037.840000000018</c:v>
                </c:pt>
                <c:pt idx="1524">
                  <c:v>50043.840000000018</c:v>
                </c:pt>
                <c:pt idx="1525">
                  <c:v>50049.840000000018</c:v>
                </c:pt>
                <c:pt idx="1526">
                  <c:v>50055.840000000018</c:v>
                </c:pt>
                <c:pt idx="1527">
                  <c:v>50061.840000000018</c:v>
                </c:pt>
                <c:pt idx="1528">
                  <c:v>50067.840000000018</c:v>
                </c:pt>
                <c:pt idx="1529">
                  <c:v>50073.840000000018</c:v>
                </c:pt>
                <c:pt idx="1530">
                  <c:v>50079.840000000018</c:v>
                </c:pt>
                <c:pt idx="1531">
                  <c:v>50085.840000000018</c:v>
                </c:pt>
                <c:pt idx="1532">
                  <c:v>50091.840000000018</c:v>
                </c:pt>
                <c:pt idx="1533">
                  <c:v>50097.840000000018</c:v>
                </c:pt>
                <c:pt idx="1534">
                  <c:v>50103.840000000018</c:v>
                </c:pt>
                <c:pt idx="1535">
                  <c:v>50109.840000000018</c:v>
                </c:pt>
                <c:pt idx="1536">
                  <c:v>50115.840000000018</c:v>
                </c:pt>
                <c:pt idx="1537">
                  <c:v>50121.840000000018</c:v>
                </c:pt>
                <c:pt idx="1538">
                  <c:v>50127.840000000018</c:v>
                </c:pt>
                <c:pt idx="1539">
                  <c:v>50133.840000000018</c:v>
                </c:pt>
                <c:pt idx="1540">
                  <c:v>50139.840000000018</c:v>
                </c:pt>
                <c:pt idx="1541">
                  <c:v>50145.840000000018</c:v>
                </c:pt>
                <c:pt idx="1542">
                  <c:v>50151.840000000018</c:v>
                </c:pt>
                <c:pt idx="1543">
                  <c:v>50157.840000000018</c:v>
                </c:pt>
                <c:pt idx="1544">
                  <c:v>50163.840000000018</c:v>
                </c:pt>
                <c:pt idx="1545">
                  <c:v>50169.840000000018</c:v>
                </c:pt>
                <c:pt idx="1546">
                  <c:v>50175.840000000018</c:v>
                </c:pt>
                <c:pt idx="1547">
                  <c:v>50181.840000000018</c:v>
                </c:pt>
                <c:pt idx="1548">
                  <c:v>50187.840000000018</c:v>
                </c:pt>
                <c:pt idx="1549">
                  <c:v>50193.840000000018</c:v>
                </c:pt>
                <c:pt idx="1550">
                  <c:v>50199.840000000018</c:v>
                </c:pt>
                <c:pt idx="1551">
                  <c:v>50205.840000000018</c:v>
                </c:pt>
                <c:pt idx="1552">
                  <c:v>50211.840000000018</c:v>
                </c:pt>
                <c:pt idx="1553">
                  <c:v>50217.840000000018</c:v>
                </c:pt>
                <c:pt idx="1554">
                  <c:v>50223.840000000018</c:v>
                </c:pt>
                <c:pt idx="1555">
                  <c:v>50234.160000000018</c:v>
                </c:pt>
                <c:pt idx="1556">
                  <c:v>50248.440000000017</c:v>
                </c:pt>
                <c:pt idx="1557">
                  <c:v>50254.440000000017</c:v>
                </c:pt>
                <c:pt idx="1558">
                  <c:v>50260.440000000017</c:v>
                </c:pt>
                <c:pt idx="1559">
                  <c:v>50266.440000000017</c:v>
                </c:pt>
                <c:pt idx="1560">
                  <c:v>50274.24000000002</c:v>
                </c:pt>
                <c:pt idx="1561">
                  <c:v>50280.24000000002</c:v>
                </c:pt>
                <c:pt idx="1562">
                  <c:v>50286.24000000002</c:v>
                </c:pt>
                <c:pt idx="1563">
                  <c:v>50294.760000000017</c:v>
                </c:pt>
                <c:pt idx="1564">
                  <c:v>50300.760000000017</c:v>
                </c:pt>
                <c:pt idx="1565">
                  <c:v>50306.760000000017</c:v>
                </c:pt>
                <c:pt idx="1566">
                  <c:v>50312.760000000017</c:v>
                </c:pt>
                <c:pt idx="1567">
                  <c:v>50318.760000000017</c:v>
                </c:pt>
                <c:pt idx="1568">
                  <c:v>50324.760000000017</c:v>
                </c:pt>
                <c:pt idx="1569">
                  <c:v>50330.760000000017</c:v>
                </c:pt>
                <c:pt idx="1570">
                  <c:v>50336.760000000017</c:v>
                </c:pt>
                <c:pt idx="1571">
                  <c:v>50342.760000000017</c:v>
                </c:pt>
                <c:pt idx="1572">
                  <c:v>50348.760000000017</c:v>
                </c:pt>
                <c:pt idx="1573">
                  <c:v>50354.760000000017</c:v>
                </c:pt>
                <c:pt idx="1574">
                  <c:v>50360.760000000017</c:v>
                </c:pt>
                <c:pt idx="1575">
                  <c:v>50366.760000000017</c:v>
                </c:pt>
                <c:pt idx="1576">
                  <c:v>50372.760000000017</c:v>
                </c:pt>
                <c:pt idx="1577">
                  <c:v>50378.760000000017</c:v>
                </c:pt>
                <c:pt idx="1578">
                  <c:v>50384.760000000017</c:v>
                </c:pt>
                <c:pt idx="1579">
                  <c:v>50390.760000000017</c:v>
                </c:pt>
                <c:pt idx="1580">
                  <c:v>50396.760000000017</c:v>
                </c:pt>
                <c:pt idx="1581">
                  <c:v>50402.760000000017</c:v>
                </c:pt>
                <c:pt idx="1582">
                  <c:v>50408.760000000017</c:v>
                </c:pt>
                <c:pt idx="1583">
                  <c:v>50414.760000000017</c:v>
                </c:pt>
                <c:pt idx="1584">
                  <c:v>50420.760000000017</c:v>
                </c:pt>
                <c:pt idx="1585">
                  <c:v>50426.760000000017</c:v>
                </c:pt>
                <c:pt idx="1586">
                  <c:v>50432.760000000017</c:v>
                </c:pt>
                <c:pt idx="1587">
                  <c:v>50438.760000000017</c:v>
                </c:pt>
                <c:pt idx="1588">
                  <c:v>50444.760000000017</c:v>
                </c:pt>
                <c:pt idx="1589">
                  <c:v>50450.760000000017</c:v>
                </c:pt>
                <c:pt idx="1590">
                  <c:v>50456.760000000017</c:v>
                </c:pt>
                <c:pt idx="1591">
                  <c:v>50462.760000000017</c:v>
                </c:pt>
                <c:pt idx="1592">
                  <c:v>50470.92000000002</c:v>
                </c:pt>
                <c:pt idx="1593">
                  <c:v>50477.640000000021</c:v>
                </c:pt>
                <c:pt idx="1594">
                  <c:v>50483.640000000021</c:v>
                </c:pt>
                <c:pt idx="1595">
                  <c:v>50489.640000000021</c:v>
                </c:pt>
                <c:pt idx="1596">
                  <c:v>50495.640000000021</c:v>
                </c:pt>
                <c:pt idx="1597">
                  <c:v>50501.640000000021</c:v>
                </c:pt>
                <c:pt idx="1598">
                  <c:v>50507.640000000021</c:v>
                </c:pt>
                <c:pt idx="1599">
                  <c:v>50513.640000000021</c:v>
                </c:pt>
                <c:pt idx="1600">
                  <c:v>50519.640000000021</c:v>
                </c:pt>
                <c:pt idx="1601">
                  <c:v>50525.640000000021</c:v>
                </c:pt>
                <c:pt idx="1602">
                  <c:v>50531.640000000021</c:v>
                </c:pt>
                <c:pt idx="1603">
                  <c:v>50537.640000000021</c:v>
                </c:pt>
                <c:pt idx="1604">
                  <c:v>50543.640000000021</c:v>
                </c:pt>
                <c:pt idx="1605">
                  <c:v>50549.640000000021</c:v>
                </c:pt>
                <c:pt idx="1606">
                  <c:v>50555.640000000021</c:v>
                </c:pt>
                <c:pt idx="1607">
                  <c:v>50561.640000000021</c:v>
                </c:pt>
                <c:pt idx="1608">
                  <c:v>50567.640000000021</c:v>
                </c:pt>
                <c:pt idx="1609">
                  <c:v>50573.640000000021</c:v>
                </c:pt>
                <c:pt idx="1610">
                  <c:v>50579.640000000021</c:v>
                </c:pt>
                <c:pt idx="1611">
                  <c:v>50588.880000000019</c:v>
                </c:pt>
                <c:pt idx="1612">
                  <c:v>50600.280000000021</c:v>
                </c:pt>
                <c:pt idx="1613">
                  <c:v>50606.280000000021</c:v>
                </c:pt>
                <c:pt idx="1614">
                  <c:v>50612.280000000021</c:v>
                </c:pt>
                <c:pt idx="1615">
                  <c:v>50625.120000000017</c:v>
                </c:pt>
                <c:pt idx="1616">
                  <c:v>50643.360000000015</c:v>
                </c:pt>
                <c:pt idx="1617">
                  <c:v>50661.960000000014</c:v>
                </c:pt>
                <c:pt idx="1618">
                  <c:v>50681.640000000014</c:v>
                </c:pt>
                <c:pt idx="1619">
                  <c:v>50698.440000000017</c:v>
                </c:pt>
                <c:pt idx="1620">
                  <c:v>50710.560000000019</c:v>
                </c:pt>
                <c:pt idx="1621">
                  <c:v>50719.080000000016</c:v>
                </c:pt>
                <c:pt idx="1622">
                  <c:v>50725.080000000016</c:v>
                </c:pt>
                <c:pt idx="1623">
                  <c:v>50736.840000000018</c:v>
                </c:pt>
                <c:pt idx="1624">
                  <c:v>50745.720000000016</c:v>
                </c:pt>
                <c:pt idx="1625">
                  <c:v>50755.680000000015</c:v>
                </c:pt>
                <c:pt idx="1626">
                  <c:v>50773.200000000012</c:v>
                </c:pt>
                <c:pt idx="1627">
                  <c:v>50798.640000000014</c:v>
                </c:pt>
                <c:pt idx="1628">
                  <c:v>50829.840000000011</c:v>
                </c:pt>
                <c:pt idx="1629">
                  <c:v>50862.840000000011</c:v>
                </c:pt>
                <c:pt idx="1630">
                  <c:v>50886.48000000001</c:v>
                </c:pt>
                <c:pt idx="1631">
                  <c:v>50904.000000000007</c:v>
                </c:pt>
                <c:pt idx="1632">
                  <c:v>50925.48000000001</c:v>
                </c:pt>
                <c:pt idx="1633">
                  <c:v>50937.960000000014</c:v>
                </c:pt>
                <c:pt idx="1634">
                  <c:v>50951.160000000011</c:v>
                </c:pt>
                <c:pt idx="1635">
                  <c:v>50965.80000000001</c:v>
                </c:pt>
                <c:pt idx="1636">
                  <c:v>50974.320000000007</c:v>
                </c:pt>
                <c:pt idx="1637">
                  <c:v>50987.520000000004</c:v>
                </c:pt>
                <c:pt idx="1638">
                  <c:v>50996.04</c:v>
                </c:pt>
                <c:pt idx="1639">
                  <c:v>51004.92</c:v>
                </c:pt>
                <c:pt idx="1640">
                  <c:v>51019.92</c:v>
                </c:pt>
                <c:pt idx="1641">
                  <c:v>51042.479999999996</c:v>
                </c:pt>
                <c:pt idx="1642">
                  <c:v>51080.88</c:v>
                </c:pt>
                <c:pt idx="1643">
                  <c:v>51114.239999999998</c:v>
                </c:pt>
                <c:pt idx="1644">
                  <c:v>51149.759999999995</c:v>
                </c:pt>
                <c:pt idx="1645">
                  <c:v>51190.679999999993</c:v>
                </c:pt>
                <c:pt idx="1646">
                  <c:v>51238.079999999994</c:v>
                </c:pt>
                <c:pt idx="1647">
                  <c:v>51276.119999999995</c:v>
                </c:pt>
                <c:pt idx="1648">
                  <c:v>51299.039999999994</c:v>
                </c:pt>
                <c:pt idx="1649">
                  <c:v>51327.359999999993</c:v>
                </c:pt>
                <c:pt idx="1650">
                  <c:v>51353.52</c:v>
                </c:pt>
                <c:pt idx="1651">
                  <c:v>51364.92</c:v>
                </c:pt>
                <c:pt idx="1652">
                  <c:v>51373.08</c:v>
                </c:pt>
                <c:pt idx="1653">
                  <c:v>51389.16</c:v>
                </c:pt>
                <c:pt idx="1654">
                  <c:v>51409.200000000004</c:v>
                </c:pt>
                <c:pt idx="1655">
                  <c:v>51431.040000000001</c:v>
                </c:pt>
                <c:pt idx="1656">
                  <c:v>51454.68</c:v>
                </c:pt>
                <c:pt idx="1657">
                  <c:v>51471.12</c:v>
                </c:pt>
                <c:pt idx="1658">
                  <c:v>51494.76</c:v>
                </c:pt>
                <c:pt idx="1659">
                  <c:v>51521.64</c:v>
                </c:pt>
                <c:pt idx="1660">
                  <c:v>51549.24</c:v>
                </c:pt>
                <c:pt idx="1661">
                  <c:v>51575.759999999995</c:v>
                </c:pt>
                <c:pt idx="1662">
                  <c:v>51598.319999999992</c:v>
                </c:pt>
                <c:pt idx="1663">
                  <c:v>51628.439999999995</c:v>
                </c:pt>
                <c:pt idx="1664">
                  <c:v>51651.719999999994</c:v>
                </c:pt>
                <c:pt idx="1665">
                  <c:v>51673.2</c:v>
                </c:pt>
                <c:pt idx="1666">
                  <c:v>51696.479999999996</c:v>
                </c:pt>
                <c:pt idx="1667">
                  <c:v>51738.119999999995</c:v>
                </c:pt>
                <c:pt idx="1668">
                  <c:v>51788.759999999995</c:v>
                </c:pt>
                <c:pt idx="1669">
                  <c:v>51845.159999999996</c:v>
                </c:pt>
                <c:pt idx="1670">
                  <c:v>51908.039999999994</c:v>
                </c:pt>
                <c:pt idx="1671">
                  <c:v>51963.719999999994</c:v>
                </c:pt>
                <c:pt idx="1672">
                  <c:v>52000.319999999992</c:v>
                </c:pt>
                <c:pt idx="1673">
                  <c:v>52036.919999999991</c:v>
                </c:pt>
                <c:pt idx="1674">
                  <c:v>52065.959999999992</c:v>
                </c:pt>
                <c:pt idx="1675">
                  <c:v>52102.919999999991</c:v>
                </c:pt>
                <c:pt idx="1676">
                  <c:v>52141.679999999993</c:v>
                </c:pt>
                <c:pt idx="1677">
                  <c:v>52178.999999999993</c:v>
                </c:pt>
                <c:pt idx="1678">
                  <c:v>52222.439999999995</c:v>
                </c:pt>
                <c:pt idx="1679">
                  <c:v>52266.959999999992</c:v>
                </c:pt>
                <c:pt idx="1680">
                  <c:v>52330.19999999999</c:v>
                </c:pt>
                <c:pt idx="1681">
                  <c:v>52393.079999999987</c:v>
                </c:pt>
                <c:pt idx="1682">
                  <c:v>52447.319999999985</c:v>
                </c:pt>
                <c:pt idx="1683">
                  <c:v>52505.159999999982</c:v>
                </c:pt>
                <c:pt idx="1684">
                  <c:v>52562.999999999978</c:v>
                </c:pt>
                <c:pt idx="1685">
                  <c:v>52603.559999999976</c:v>
                </c:pt>
                <c:pt idx="1686">
                  <c:v>52641.239999999976</c:v>
                </c:pt>
                <c:pt idx="1687">
                  <c:v>52672.079999999973</c:v>
                </c:pt>
                <c:pt idx="1688">
                  <c:v>52710.479999999974</c:v>
                </c:pt>
                <c:pt idx="1689">
                  <c:v>52760.759999999973</c:v>
                </c:pt>
                <c:pt idx="1690">
                  <c:v>52805.27999999997</c:v>
                </c:pt>
                <c:pt idx="1691">
                  <c:v>52843.679999999971</c:v>
                </c:pt>
                <c:pt idx="1692">
                  <c:v>52880.63999999997</c:v>
                </c:pt>
                <c:pt idx="1693">
                  <c:v>52920.119999999974</c:v>
                </c:pt>
                <c:pt idx="1694">
                  <c:v>52962.839999999975</c:v>
                </c:pt>
                <c:pt idx="1695">
                  <c:v>53009.879999999976</c:v>
                </c:pt>
                <c:pt idx="1696">
                  <c:v>53059.439999999973</c:v>
                </c:pt>
                <c:pt idx="1697">
                  <c:v>53107.559999999976</c:v>
                </c:pt>
                <c:pt idx="1698">
                  <c:v>53144.519999999975</c:v>
                </c:pt>
                <c:pt idx="1699">
                  <c:v>53186.159999999974</c:v>
                </c:pt>
                <c:pt idx="1700">
                  <c:v>53246.519999999975</c:v>
                </c:pt>
                <c:pt idx="1701">
                  <c:v>53312.279999999977</c:v>
                </c:pt>
                <c:pt idx="1702">
                  <c:v>53371.199999999975</c:v>
                </c:pt>
                <c:pt idx="1703">
                  <c:v>53431.919999999976</c:v>
                </c:pt>
                <c:pt idx="1704">
                  <c:v>53492.279999999977</c:v>
                </c:pt>
                <c:pt idx="1705">
                  <c:v>53563.439999999981</c:v>
                </c:pt>
                <c:pt idx="1706">
                  <c:v>53629.559999999983</c:v>
                </c:pt>
                <c:pt idx="1707">
                  <c:v>53672.999999999985</c:v>
                </c:pt>
                <c:pt idx="1708">
                  <c:v>53711.039999999986</c:v>
                </c:pt>
                <c:pt idx="1709">
                  <c:v>53750.51999999999</c:v>
                </c:pt>
                <c:pt idx="1710">
                  <c:v>53806.919999999991</c:v>
                </c:pt>
                <c:pt idx="1711">
                  <c:v>53878.079999999994</c:v>
                </c:pt>
                <c:pt idx="1712">
                  <c:v>53944.56</c:v>
                </c:pt>
                <c:pt idx="1713">
                  <c:v>54010.68</c:v>
                </c:pt>
                <c:pt idx="1714">
                  <c:v>54059.519999999997</c:v>
                </c:pt>
                <c:pt idx="1715">
                  <c:v>54099.359999999993</c:v>
                </c:pt>
                <c:pt idx="1716">
                  <c:v>54144.599999999991</c:v>
                </c:pt>
                <c:pt idx="1717">
                  <c:v>54207.119999999988</c:v>
                </c:pt>
                <c:pt idx="1718">
                  <c:v>54266.399999999987</c:v>
                </c:pt>
                <c:pt idx="1719">
                  <c:v>54327.839999999989</c:v>
                </c:pt>
                <c:pt idx="1720">
                  <c:v>54376.679999999986</c:v>
                </c:pt>
                <c:pt idx="1721">
                  <c:v>54424.079999999987</c:v>
                </c:pt>
                <c:pt idx="1722">
                  <c:v>54480.839999999989</c:v>
                </c:pt>
                <c:pt idx="1723">
                  <c:v>54526.079999999987</c:v>
                </c:pt>
                <c:pt idx="1724">
                  <c:v>54575.279999999984</c:v>
                </c:pt>
                <c:pt idx="1725">
                  <c:v>54620.519999999982</c:v>
                </c:pt>
                <c:pt idx="1726">
                  <c:v>54673.679999999986</c:v>
                </c:pt>
                <c:pt idx="1727">
                  <c:v>54731.159999999989</c:v>
                </c:pt>
                <c:pt idx="1728">
                  <c:v>54796.19999999999</c:v>
                </c:pt>
                <c:pt idx="1729">
                  <c:v>54866.639999999992</c:v>
                </c:pt>
                <c:pt idx="1730">
                  <c:v>54933.479999999989</c:v>
                </c:pt>
                <c:pt idx="1731">
                  <c:v>54988.799999999988</c:v>
                </c:pt>
                <c:pt idx="1732">
                  <c:v>55053.839999999989</c:v>
                </c:pt>
                <c:pt idx="1733">
                  <c:v>55139.759999999987</c:v>
                </c:pt>
                <c:pt idx="1734">
                  <c:v>55205.159999999989</c:v>
                </c:pt>
                <c:pt idx="1735">
                  <c:v>55257.239999999991</c:v>
                </c:pt>
                <c:pt idx="1736">
                  <c:v>55320.479999999989</c:v>
                </c:pt>
                <c:pt idx="1737">
                  <c:v>55385.51999999999</c:v>
                </c:pt>
                <c:pt idx="1738">
                  <c:v>55452.359999999986</c:v>
                </c:pt>
                <c:pt idx="1739">
                  <c:v>55507.679999999986</c:v>
                </c:pt>
                <c:pt idx="1740">
                  <c:v>55552.919999999984</c:v>
                </c:pt>
                <c:pt idx="1741">
                  <c:v>55592.75999999998</c:v>
                </c:pt>
                <c:pt idx="1742">
                  <c:v>55649.159999999982</c:v>
                </c:pt>
                <c:pt idx="1743">
                  <c:v>55712.039999999979</c:v>
                </c:pt>
                <c:pt idx="1744">
                  <c:v>55768.799999999981</c:v>
                </c:pt>
                <c:pt idx="1745">
                  <c:v>55830.959999999985</c:v>
                </c:pt>
                <c:pt idx="1746">
                  <c:v>55899.599999999984</c:v>
                </c:pt>
                <c:pt idx="1747">
                  <c:v>55966.799999999981</c:v>
                </c:pt>
                <c:pt idx="1748">
                  <c:v>56033.999999999978</c:v>
                </c:pt>
                <c:pt idx="1749">
                  <c:v>56097.599999999977</c:v>
                </c:pt>
                <c:pt idx="1750">
                  <c:v>56159.75999999998</c:v>
                </c:pt>
                <c:pt idx="1751">
                  <c:v>56223.359999999979</c:v>
                </c:pt>
                <c:pt idx="1752">
                  <c:v>56300.639999999978</c:v>
                </c:pt>
                <c:pt idx="1753">
                  <c:v>56371.07999999998</c:v>
                </c:pt>
                <c:pt idx="1754">
                  <c:v>56433.959999999977</c:v>
                </c:pt>
                <c:pt idx="1755">
                  <c:v>56509.07999999998</c:v>
                </c:pt>
                <c:pt idx="1756">
                  <c:v>56579.519999999982</c:v>
                </c:pt>
                <c:pt idx="1757">
                  <c:v>56649.239999999983</c:v>
                </c:pt>
                <c:pt idx="1758">
                  <c:v>56711.399999999987</c:v>
                </c:pt>
                <c:pt idx="1759">
                  <c:v>56763.839999999989</c:v>
                </c:pt>
                <c:pt idx="1760">
                  <c:v>56822.039999999986</c:v>
                </c:pt>
                <c:pt idx="1761">
                  <c:v>56874.839999999989</c:v>
                </c:pt>
                <c:pt idx="1762">
                  <c:v>56905.319999999992</c:v>
                </c:pt>
                <c:pt idx="1763">
                  <c:v>56930.759999999995</c:v>
                </c:pt>
                <c:pt idx="1764">
                  <c:v>56968.079999999994</c:v>
                </c:pt>
                <c:pt idx="1765">
                  <c:v>57001.799999999996</c:v>
                </c:pt>
                <c:pt idx="1766">
                  <c:v>57054.96</c:v>
                </c:pt>
                <c:pt idx="1767">
                  <c:v>57116.76</c:v>
                </c:pt>
                <c:pt idx="1768">
                  <c:v>57179.28</c:v>
                </c:pt>
                <c:pt idx="1769">
                  <c:v>57233.52</c:v>
                </c:pt>
                <c:pt idx="1770">
                  <c:v>57294.6</c:v>
                </c:pt>
                <c:pt idx="1771">
                  <c:v>57345.96</c:v>
                </c:pt>
                <c:pt idx="1772">
                  <c:v>57382.92</c:v>
                </c:pt>
                <c:pt idx="1773">
                  <c:v>57435.360000000001</c:v>
                </c:pt>
                <c:pt idx="1774">
                  <c:v>57494.64</c:v>
                </c:pt>
                <c:pt idx="1775">
                  <c:v>57551.040000000001</c:v>
                </c:pt>
                <c:pt idx="1776">
                  <c:v>57598.8</c:v>
                </c:pt>
                <c:pt idx="1777">
                  <c:v>57649.440000000002</c:v>
                </c:pt>
                <c:pt idx="1778">
                  <c:v>57692.880000000005</c:v>
                </c:pt>
                <c:pt idx="1779">
                  <c:v>57725.880000000005</c:v>
                </c:pt>
                <c:pt idx="1780">
                  <c:v>57768.960000000006</c:v>
                </c:pt>
                <c:pt idx="1781">
                  <c:v>57820.680000000008</c:v>
                </c:pt>
                <c:pt idx="1782">
                  <c:v>57873.12000000001</c:v>
                </c:pt>
                <c:pt idx="1783">
                  <c:v>57923.400000000009</c:v>
                </c:pt>
                <c:pt idx="1784">
                  <c:v>57962.160000000011</c:v>
                </c:pt>
                <c:pt idx="1785">
                  <c:v>57992.640000000014</c:v>
                </c:pt>
                <c:pt idx="1786">
                  <c:v>58042.200000000012</c:v>
                </c:pt>
                <c:pt idx="1787">
                  <c:v>58078.80000000001</c:v>
                </c:pt>
                <c:pt idx="1788">
                  <c:v>58130.520000000011</c:v>
                </c:pt>
                <c:pt idx="1789">
                  <c:v>58185.48000000001</c:v>
                </c:pt>
                <c:pt idx="1790">
                  <c:v>58244.760000000009</c:v>
                </c:pt>
                <c:pt idx="1791">
                  <c:v>58297.560000000012</c:v>
                </c:pt>
                <c:pt idx="1792">
                  <c:v>58337.040000000015</c:v>
                </c:pt>
                <c:pt idx="1793">
                  <c:v>58380.120000000017</c:v>
                </c:pt>
                <c:pt idx="1794">
                  <c:v>58430.400000000016</c:v>
                </c:pt>
                <c:pt idx="1795">
                  <c:v>58485.360000000015</c:v>
                </c:pt>
                <c:pt idx="1796">
                  <c:v>58535.280000000013</c:v>
                </c:pt>
                <c:pt idx="1797">
                  <c:v>58578.360000000015</c:v>
                </c:pt>
                <c:pt idx="1798">
                  <c:v>58630.440000000017</c:v>
                </c:pt>
                <c:pt idx="1799">
                  <c:v>58678.92000000002</c:v>
                </c:pt>
                <c:pt idx="1800">
                  <c:v>58725.24000000002</c:v>
                </c:pt>
                <c:pt idx="1801">
                  <c:v>58774.080000000016</c:v>
                </c:pt>
                <c:pt idx="1802">
                  <c:v>58808.880000000019</c:v>
                </c:pt>
                <c:pt idx="1803">
                  <c:v>58834.320000000022</c:v>
                </c:pt>
                <c:pt idx="1804">
                  <c:v>58875.24000000002</c:v>
                </c:pt>
                <c:pt idx="1805">
                  <c:v>58928.040000000023</c:v>
                </c:pt>
                <c:pt idx="1806">
                  <c:v>58983.000000000022</c:v>
                </c:pt>
                <c:pt idx="1807">
                  <c:v>59030.040000000023</c:v>
                </c:pt>
                <c:pt idx="1808">
                  <c:v>59069.520000000026</c:v>
                </c:pt>
                <c:pt idx="1809">
                  <c:v>59102.520000000026</c:v>
                </c:pt>
                <c:pt idx="1810">
                  <c:v>59135.160000000025</c:v>
                </c:pt>
                <c:pt idx="1811">
                  <c:v>59168.880000000026</c:v>
                </c:pt>
                <c:pt idx="1812">
                  <c:v>59226.720000000023</c:v>
                </c:pt>
                <c:pt idx="1813">
                  <c:v>59297.520000000026</c:v>
                </c:pt>
                <c:pt idx="1814">
                  <c:v>59367.600000000028</c:v>
                </c:pt>
                <c:pt idx="1815">
                  <c:v>59433.72000000003</c:v>
                </c:pt>
                <c:pt idx="1816">
                  <c:v>59497.680000000029</c:v>
                </c:pt>
                <c:pt idx="1817">
                  <c:v>59554.080000000031</c:v>
                </c:pt>
                <c:pt idx="1818">
                  <c:v>59587.440000000031</c:v>
                </c:pt>
                <c:pt idx="1819">
                  <c:v>59622.960000000028</c:v>
                </c:pt>
                <c:pt idx="1820">
                  <c:v>59670.000000000029</c:v>
                </c:pt>
                <c:pt idx="1821">
                  <c:v>59734.680000000029</c:v>
                </c:pt>
                <c:pt idx="1822">
                  <c:v>59799.36000000003</c:v>
                </c:pt>
                <c:pt idx="1823">
                  <c:v>59863.680000000029</c:v>
                </c:pt>
                <c:pt idx="1824">
                  <c:v>59914.680000000029</c:v>
                </c:pt>
                <c:pt idx="1825">
                  <c:v>59964.240000000027</c:v>
                </c:pt>
                <c:pt idx="1826">
                  <c:v>60002.640000000029</c:v>
                </c:pt>
                <c:pt idx="1827">
                  <c:v>60038.160000000025</c:v>
                </c:pt>
                <c:pt idx="1828">
                  <c:v>60061.800000000025</c:v>
                </c:pt>
                <c:pt idx="1829">
                  <c:v>60082.920000000027</c:v>
                </c:pt>
                <c:pt idx="1830">
                  <c:v>60103.680000000029</c:v>
                </c:pt>
                <c:pt idx="1831">
                  <c:v>60123.72000000003</c:v>
                </c:pt>
                <c:pt idx="1832">
                  <c:v>60149.520000000033</c:v>
                </c:pt>
                <c:pt idx="1833">
                  <c:v>60180.000000000036</c:v>
                </c:pt>
                <c:pt idx="1834">
                  <c:v>60200.760000000038</c:v>
                </c:pt>
                <c:pt idx="1835">
                  <c:v>60233.040000000037</c:v>
                </c:pt>
                <c:pt idx="1836">
                  <c:v>60285.120000000039</c:v>
                </c:pt>
                <c:pt idx="1837">
                  <c:v>60326.760000000038</c:v>
                </c:pt>
                <c:pt idx="1838">
                  <c:v>60350.040000000037</c:v>
                </c:pt>
                <c:pt idx="1839">
                  <c:v>60369.000000000036</c:v>
                </c:pt>
                <c:pt idx="1840">
                  <c:v>60388.680000000037</c:v>
                </c:pt>
                <c:pt idx="1841">
                  <c:v>60415.920000000035</c:v>
                </c:pt>
                <c:pt idx="1842">
                  <c:v>60452.160000000033</c:v>
                </c:pt>
                <c:pt idx="1843">
                  <c:v>60482.640000000036</c:v>
                </c:pt>
                <c:pt idx="1844">
                  <c:v>60511.320000000036</c:v>
                </c:pt>
                <c:pt idx="1845">
                  <c:v>60534.960000000036</c:v>
                </c:pt>
                <c:pt idx="1846">
                  <c:v>60550.680000000037</c:v>
                </c:pt>
                <c:pt idx="1847">
                  <c:v>60581.880000000034</c:v>
                </c:pt>
                <c:pt idx="1848">
                  <c:v>60615.240000000034</c:v>
                </c:pt>
                <c:pt idx="1849">
                  <c:v>60633.840000000033</c:v>
                </c:pt>
                <c:pt idx="1850">
                  <c:v>60642.000000000036</c:v>
                </c:pt>
                <c:pt idx="1851">
                  <c:v>60657.360000000037</c:v>
                </c:pt>
                <c:pt idx="1852">
                  <c:v>60674.52000000004</c:v>
                </c:pt>
                <c:pt idx="1853">
                  <c:v>60696.000000000044</c:v>
                </c:pt>
                <c:pt idx="1854">
                  <c:v>60726.480000000047</c:v>
                </c:pt>
                <c:pt idx="1855">
                  <c:v>60756.96000000005</c:v>
                </c:pt>
                <c:pt idx="1856">
                  <c:v>60781.680000000051</c:v>
                </c:pt>
                <c:pt idx="1857">
                  <c:v>60820.080000000053</c:v>
                </c:pt>
                <c:pt idx="1858">
                  <c:v>60856.320000000051</c:v>
                </c:pt>
                <c:pt idx="1859">
                  <c:v>60882.120000000054</c:v>
                </c:pt>
                <c:pt idx="1860">
                  <c:v>60897.840000000055</c:v>
                </c:pt>
                <c:pt idx="1861">
                  <c:v>60904.200000000055</c:v>
                </c:pt>
                <c:pt idx="1862">
                  <c:v>60912.000000000058</c:v>
                </c:pt>
                <c:pt idx="1863">
                  <c:v>60942.840000000055</c:v>
                </c:pt>
                <c:pt idx="1864">
                  <c:v>60987.720000000052</c:v>
                </c:pt>
                <c:pt idx="1865">
                  <c:v>61025.040000000052</c:v>
                </c:pt>
                <c:pt idx="1866">
                  <c:v>61054.800000000054</c:v>
                </c:pt>
                <c:pt idx="1867">
                  <c:v>61084.920000000056</c:v>
                </c:pt>
                <c:pt idx="1868">
                  <c:v>61111.800000000054</c:v>
                </c:pt>
                <c:pt idx="1869">
                  <c:v>61130.040000000052</c:v>
                </c:pt>
                <c:pt idx="1870">
                  <c:v>61143.240000000049</c:v>
                </c:pt>
                <c:pt idx="1871">
                  <c:v>61149.240000000049</c:v>
                </c:pt>
                <c:pt idx="1872">
                  <c:v>61164.600000000049</c:v>
                </c:pt>
                <c:pt idx="1873">
                  <c:v>61179.96000000005</c:v>
                </c:pt>
                <c:pt idx="1874">
                  <c:v>61196.040000000052</c:v>
                </c:pt>
                <c:pt idx="1875">
                  <c:v>61213.200000000055</c:v>
                </c:pt>
                <c:pt idx="1876">
                  <c:v>61237.920000000056</c:v>
                </c:pt>
                <c:pt idx="1877">
                  <c:v>61264.440000000053</c:v>
                </c:pt>
                <c:pt idx="1878">
                  <c:v>61285.920000000056</c:v>
                </c:pt>
                <c:pt idx="1879">
                  <c:v>61303.440000000053</c:v>
                </c:pt>
                <c:pt idx="1880">
                  <c:v>61326.000000000051</c:v>
                </c:pt>
                <c:pt idx="1881">
                  <c:v>61344.600000000049</c:v>
                </c:pt>
                <c:pt idx="1882">
                  <c:v>61364.64000000005</c:v>
                </c:pt>
                <c:pt idx="1883">
                  <c:v>61388.28000000005</c:v>
                </c:pt>
                <c:pt idx="1884">
                  <c:v>61397.880000000048</c:v>
                </c:pt>
                <c:pt idx="1885">
                  <c:v>61410.360000000052</c:v>
                </c:pt>
                <c:pt idx="1886">
                  <c:v>61416.360000000052</c:v>
                </c:pt>
                <c:pt idx="1887">
                  <c:v>61426.320000000051</c:v>
                </c:pt>
                <c:pt idx="1888">
                  <c:v>61441.320000000051</c:v>
                </c:pt>
                <c:pt idx="1889">
                  <c:v>61458.120000000054</c:v>
                </c:pt>
                <c:pt idx="1890">
                  <c:v>61472.760000000053</c:v>
                </c:pt>
                <c:pt idx="1891">
                  <c:v>61489.560000000056</c:v>
                </c:pt>
                <c:pt idx="1892">
                  <c:v>61502.400000000052</c:v>
                </c:pt>
                <c:pt idx="1893">
                  <c:v>61517.400000000052</c:v>
                </c:pt>
                <c:pt idx="1894">
                  <c:v>61523.760000000053</c:v>
                </c:pt>
                <c:pt idx="1895">
                  <c:v>61529.760000000053</c:v>
                </c:pt>
                <c:pt idx="1896">
                  <c:v>61535.760000000053</c:v>
                </c:pt>
                <c:pt idx="1897">
                  <c:v>61541.760000000053</c:v>
                </c:pt>
                <c:pt idx="1898">
                  <c:v>61547.760000000053</c:v>
                </c:pt>
                <c:pt idx="1899">
                  <c:v>61553.760000000053</c:v>
                </c:pt>
                <c:pt idx="1900">
                  <c:v>61559.760000000053</c:v>
                </c:pt>
                <c:pt idx="1901">
                  <c:v>61565.760000000053</c:v>
                </c:pt>
                <c:pt idx="1902">
                  <c:v>61576.080000000053</c:v>
                </c:pt>
                <c:pt idx="1903">
                  <c:v>61587.840000000055</c:v>
                </c:pt>
                <c:pt idx="1904">
                  <c:v>61593.840000000055</c:v>
                </c:pt>
                <c:pt idx="1905">
                  <c:v>61599.840000000055</c:v>
                </c:pt>
                <c:pt idx="1906">
                  <c:v>61605.840000000055</c:v>
                </c:pt>
                <c:pt idx="1907">
                  <c:v>61617.960000000057</c:v>
                </c:pt>
                <c:pt idx="1908">
                  <c:v>61623.960000000057</c:v>
                </c:pt>
                <c:pt idx="1909">
                  <c:v>61629.960000000057</c:v>
                </c:pt>
                <c:pt idx="1910">
                  <c:v>61635.960000000057</c:v>
                </c:pt>
                <c:pt idx="1911">
                  <c:v>61641.960000000057</c:v>
                </c:pt>
                <c:pt idx="1912">
                  <c:v>61647.960000000057</c:v>
                </c:pt>
                <c:pt idx="1913">
                  <c:v>61653.960000000057</c:v>
                </c:pt>
                <c:pt idx="1914">
                  <c:v>61659.960000000057</c:v>
                </c:pt>
                <c:pt idx="1915">
                  <c:v>61665.960000000057</c:v>
                </c:pt>
                <c:pt idx="1916">
                  <c:v>61671.960000000057</c:v>
                </c:pt>
                <c:pt idx="1917">
                  <c:v>61677.960000000057</c:v>
                </c:pt>
                <c:pt idx="1918">
                  <c:v>61683.960000000057</c:v>
                </c:pt>
                <c:pt idx="1919">
                  <c:v>61689.960000000057</c:v>
                </c:pt>
                <c:pt idx="1920">
                  <c:v>61702.08000000006</c:v>
                </c:pt>
                <c:pt idx="1921">
                  <c:v>61716.000000000058</c:v>
                </c:pt>
                <c:pt idx="1922">
                  <c:v>61722.000000000058</c:v>
                </c:pt>
                <c:pt idx="1923">
                  <c:v>61728.000000000058</c:v>
                </c:pt>
                <c:pt idx="1924">
                  <c:v>61739.40000000006</c:v>
                </c:pt>
                <c:pt idx="1925">
                  <c:v>61751.160000000062</c:v>
                </c:pt>
                <c:pt idx="1926">
                  <c:v>61759.680000000058</c:v>
                </c:pt>
                <c:pt idx="1927">
                  <c:v>61765.680000000058</c:v>
                </c:pt>
                <c:pt idx="1928">
                  <c:v>61771.680000000058</c:v>
                </c:pt>
                <c:pt idx="1929">
                  <c:v>61784.160000000062</c:v>
                </c:pt>
                <c:pt idx="1930">
                  <c:v>61794.840000000062</c:v>
                </c:pt>
                <c:pt idx="1931">
                  <c:v>61800.840000000062</c:v>
                </c:pt>
                <c:pt idx="1932">
                  <c:v>61806.840000000062</c:v>
                </c:pt>
                <c:pt idx="1933">
                  <c:v>61812.840000000062</c:v>
                </c:pt>
                <c:pt idx="1934">
                  <c:v>61818.840000000062</c:v>
                </c:pt>
                <c:pt idx="1935">
                  <c:v>61824.840000000062</c:v>
                </c:pt>
                <c:pt idx="1936">
                  <c:v>61830.840000000062</c:v>
                </c:pt>
                <c:pt idx="1937">
                  <c:v>61836.840000000062</c:v>
                </c:pt>
                <c:pt idx="1938">
                  <c:v>61842.840000000062</c:v>
                </c:pt>
                <c:pt idx="1939">
                  <c:v>61848.840000000062</c:v>
                </c:pt>
                <c:pt idx="1940">
                  <c:v>61854.840000000062</c:v>
                </c:pt>
                <c:pt idx="1941">
                  <c:v>61860.840000000062</c:v>
                </c:pt>
                <c:pt idx="1942">
                  <c:v>61866.840000000062</c:v>
                </c:pt>
                <c:pt idx="1943">
                  <c:v>61872.840000000062</c:v>
                </c:pt>
                <c:pt idx="1944">
                  <c:v>61878.840000000062</c:v>
                </c:pt>
                <c:pt idx="1945">
                  <c:v>61884.840000000062</c:v>
                </c:pt>
                <c:pt idx="1946">
                  <c:v>61890.840000000062</c:v>
                </c:pt>
                <c:pt idx="1947">
                  <c:v>61898.280000000064</c:v>
                </c:pt>
                <c:pt idx="1948">
                  <c:v>61911.120000000061</c:v>
                </c:pt>
                <c:pt idx="1949">
                  <c:v>61917.120000000061</c:v>
                </c:pt>
                <c:pt idx="1950">
                  <c:v>61923.120000000061</c:v>
                </c:pt>
                <c:pt idx="1951">
                  <c:v>61929.120000000061</c:v>
                </c:pt>
                <c:pt idx="1952">
                  <c:v>61935.120000000061</c:v>
                </c:pt>
                <c:pt idx="1953">
                  <c:v>61941.120000000061</c:v>
                </c:pt>
                <c:pt idx="1954">
                  <c:v>61947.120000000061</c:v>
                </c:pt>
                <c:pt idx="1955">
                  <c:v>61953.120000000061</c:v>
                </c:pt>
                <c:pt idx="1956">
                  <c:v>61959.120000000061</c:v>
                </c:pt>
                <c:pt idx="1957">
                  <c:v>61965.120000000061</c:v>
                </c:pt>
                <c:pt idx="1958">
                  <c:v>61971.120000000061</c:v>
                </c:pt>
                <c:pt idx="1959">
                  <c:v>61977.120000000061</c:v>
                </c:pt>
                <c:pt idx="1960">
                  <c:v>61983.120000000061</c:v>
                </c:pt>
                <c:pt idx="1961">
                  <c:v>61989.120000000061</c:v>
                </c:pt>
                <c:pt idx="1962">
                  <c:v>61995.120000000061</c:v>
                </c:pt>
                <c:pt idx="1963">
                  <c:v>62001.120000000061</c:v>
                </c:pt>
                <c:pt idx="1964">
                  <c:v>62007.120000000061</c:v>
                </c:pt>
                <c:pt idx="1965">
                  <c:v>62013.120000000061</c:v>
                </c:pt>
                <c:pt idx="1966">
                  <c:v>62019.120000000061</c:v>
                </c:pt>
                <c:pt idx="1967">
                  <c:v>62025.120000000061</c:v>
                </c:pt>
                <c:pt idx="1968">
                  <c:v>62031.120000000061</c:v>
                </c:pt>
                <c:pt idx="1969">
                  <c:v>62037.120000000061</c:v>
                </c:pt>
                <c:pt idx="1970">
                  <c:v>62043.120000000061</c:v>
                </c:pt>
                <c:pt idx="1971">
                  <c:v>62049.120000000061</c:v>
                </c:pt>
                <c:pt idx="1972">
                  <c:v>62055.120000000061</c:v>
                </c:pt>
                <c:pt idx="1973">
                  <c:v>62061.120000000061</c:v>
                </c:pt>
                <c:pt idx="1974">
                  <c:v>62068.920000000064</c:v>
                </c:pt>
                <c:pt idx="1975">
                  <c:v>62079.600000000064</c:v>
                </c:pt>
                <c:pt idx="1976">
                  <c:v>62097.120000000061</c:v>
                </c:pt>
                <c:pt idx="1977">
                  <c:v>62113.920000000064</c:v>
                </c:pt>
                <c:pt idx="1978">
                  <c:v>62122.800000000061</c:v>
                </c:pt>
                <c:pt idx="1979">
                  <c:v>62128.800000000061</c:v>
                </c:pt>
                <c:pt idx="1980">
                  <c:v>62134.800000000061</c:v>
                </c:pt>
                <c:pt idx="1981">
                  <c:v>62145.480000000061</c:v>
                </c:pt>
                <c:pt idx="1982">
                  <c:v>62157.600000000064</c:v>
                </c:pt>
                <c:pt idx="1983">
                  <c:v>62166.840000000062</c:v>
                </c:pt>
                <c:pt idx="1984">
                  <c:v>62172.840000000062</c:v>
                </c:pt>
                <c:pt idx="1985">
                  <c:v>62180.640000000065</c:v>
                </c:pt>
                <c:pt idx="1986">
                  <c:v>62189.880000000063</c:v>
                </c:pt>
                <c:pt idx="1987">
                  <c:v>62195.880000000063</c:v>
                </c:pt>
                <c:pt idx="1988">
                  <c:v>62201.880000000063</c:v>
                </c:pt>
                <c:pt idx="1989">
                  <c:v>62207.880000000063</c:v>
                </c:pt>
                <c:pt idx="1990">
                  <c:v>62213.880000000063</c:v>
                </c:pt>
                <c:pt idx="1991">
                  <c:v>62219.880000000063</c:v>
                </c:pt>
                <c:pt idx="1992">
                  <c:v>62225.880000000063</c:v>
                </c:pt>
                <c:pt idx="1993">
                  <c:v>62248.08000000006</c:v>
                </c:pt>
                <c:pt idx="1994">
                  <c:v>62267.40000000006</c:v>
                </c:pt>
                <c:pt idx="1995">
                  <c:v>62278.800000000061</c:v>
                </c:pt>
                <c:pt idx="1996">
                  <c:v>62286.960000000065</c:v>
                </c:pt>
                <c:pt idx="1997">
                  <c:v>62292.960000000065</c:v>
                </c:pt>
                <c:pt idx="1998">
                  <c:v>62298.960000000065</c:v>
                </c:pt>
                <c:pt idx="1999">
                  <c:v>62304.960000000065</c:v>
                </c:pt>
                <c:pt idx="2000">
                  <c:v>62324.640000000065</c:v>
                </c:pt>
                <c:pt idx="2001">
                  <c:v>62365.560000000063</c:v>
                </c:pt>
                <c:pt idx="2002">
                  <c:v>62400.000000000065</c:v>
                </c:pt>
                <c:pt idx="2003">
                  <c:v>62440.920000000064</c:v>
                </c:pt>
                <c:pt idx="2004">
                  <c:v>62469.960000000065</c:v>
                </c:pt>
                <c:pt idx="2005">
                  <c:v>62495.760000000068</c:v>
                </c:pt>
                <c:pt idx="2006">
                  <c:v>62519.400000000067</c:v>
                </c:pt>
                <c:pt idx="2007">
                  <c:v>62539.440000000068</c:v>
                </c:pt>
                <c:pt idx="2008">
                  <c:v>62545.440000000068</c:v>
                </c:pt>
                <c:pt idx="2009">
                  <c:v>62561.88000000007</c:v>
                </c:pt>
                <c:pt idx="2010">
                  <c:v>62588.040000000074</c:v>
                </c:pt>
                <c:pt idx="2011">
                  <c:v>62610.960000000072</c:v>
                </c:pt>
                <c:pt idx="2012">
                  <c:v>62634.600000000071</c:v>
                </c:pt>
                <c:pt idx="2013">
                  <c:v>62656.800000000068</c:v>
                </c:pt>
                <c:pt idx="2014">
                  <c:v>62669.280000000072</c:v>
                </c:pt>
                <c:pt idx="2015">
                  <c:v>62695.800000000068</c:v>
                </c:pt>
                <c:pt idx="2016">
                  <c:v>62740.680000000066</c:v>
                </c:pt>
                <c:pt idx="2017">
                  <c:v>62779.800000000068</c:v>
                </c:pt>
                <c:pt idx="2018">
                  <c:v>62823.600000000071</c:v>
                </c:pt>
                <c:pt idx="2019">
                  <c:v>62865.960000000072</c:v>
                </c:pt>
                <c:pt idx="2020">
                  <c:v>62900.040000000074</c:v>
                </c:pt>
                <c:pt idx="2021">
                  <c:v>62937.360000000073</c:v>
                </c:pt>
                <c:pt idx="2022">
                  <c:v>62978.280000000072</c:v>
                </c:pt>
                <c:pt idx="2023">
                  <c:v>63017.040000000074</c:v>
                </c:pt>
                <c:pt idx="2024">
                  <c:v>63054.000000000073</c:v>
                </c:pt>
                <c:pt idx="2025">
                  <c:v>63095.640000000072</c:v>
                </c:pt>
                <c:pt idx="2026">
                  <c:v>63130.800000000076</c:v>
                </c:pt>
                <c:pt idx="2027">
                  <c:v>63156.960000000079</c:v>
                </c:pt>
                <c:pt idx="2028">
                  <c:v>63179.160000000076</c:v>
                </c:pt>
                <c:pt idx="2029">
                  <c:v>63198.840000000077</c:v>
                </c:pt>
                <c:pt idx="2030">
                  <c:v>63234.360000000073</c:v>
                </c:pt>
                <c:pt idx="2031">
                  <c:v>63262.320000000072</c:v>
                </c:pt>
                <c:pt idx="2032">
                  <c:v>63300.720000000074</c:v>
                </c:pt>
                <c:pt idx="2033">
                  <c:v>63343.440000000075</c:v>
                </c:pt>
                <c:pt idx="2034">
                  <c:v>63380.400000000074</c:v>
                </c:pt>
                <c:pt idx="2035">
                  <c:v>63410.520000000077</c:v>
                </c:pt>
                <c:pt idx="2036">
                  <c:v>63432.360000000073</c:v>
                </c:pt>
                <c:pt idx="2037">
                  <c:v>63464.280000000072</c:v>
                </c:pt>
                <c:pt idx="2038">
                  <c:v>63476.760000000075</c:v>
                </c:pt>
                <c:pt idx="2039">
                  <c:v>63495.720000000074</c:v>
                </c:pt>
                <c:pt idx="2040">
                  <c:v>63530.160000000076</c:v>
                </c:pt>
                <c:pt idx="2041">
                  <c:v>63577.920000000078</c:v>
                </c:pt>
                <c:pt idx="2042">
                  <c:v>63633.960000000079</c:v>
                </c:pt>
                <c:pt idx="2043">
                  <c:v>63694.32000000008</c:v>
                </c:pt>
                <c:pt idx="2044">
                  <c:v>63752.520000000077</c:v>
                </c:pt>
                <c:pt idx="2045">
                  <c:v>63808.200000000077</c:v>
                </c:pt>
                <c:pt idx="2046">
                  <c:v>63859.560000000078</c:v>
                </c:pt>
                <c:pt idx="2047">
                  <c:v>63909.120000000075</c:v>
                </c:pt>
                <c:pt idx="2048">
                  <c:v>63956.880000000077</c:v>
                </c:pt>
                <c:pt idx="2049">
                  <c:v>63998.520000000077</c:v>
                </c:pt>
                <c:pt idx="2050">
                  <c:v>64034.760000000075</c:v>
                </c:pt>
                <c:pt idx="2051">
                  <c:v>64082.520000000077</c:v>
                </c:pt>
                <c:pt idx="2052">
                  <c:v>64121.640000000079</c:v>
                </c:pt>
                <c:pt idx="2053">
                  <c:v>64154.280000000079</c:v>
                </c:pt>
                <c:pt idx="2054">
                  <c:v>64189.440000000082</c:v>
                </c:pt>
                <c:pt idx="2055">
                  <c:v>64231.800000000083</c:v>
                </c:pt>
                <c:pt idx="2056">
                  <c:v>64286.400000000081</c:v>
                </c:pt>
                <c:pt idx="2057">
                  <c:v>64352.160000000084</c:v>
                </c:pt>
                <c:pt idx="2058">
                  <c:v>64408.560000000085</c:v>
                </c:pt>
                <c:pt idx="2059">
                  <c:v>64458.480000000083</c:v>
                </c:pt>
                <c:pt idx="2060">
                  <c:v>64528.200000000084</c:v>
                </c:pt>
                <c:pt idx="2061">
                  <c:v>64595.760000000082</c:v>
                </c:pt>
                <c:pt idx="2062">
                  <c:v>64664.400000000081</c:v>
                </c:pt>
                <c:pt idx="2063">
                  <c:v>64731.960000000079</c:v>
                </c:pt>
                <c:pt idx="2064">
                  <c:v>64797.360000000081</c:v>
                </c:pt>
                <c:pt idx="2065">
                  <c:v>64858.800000000083</c:v>
                </c:pt>
                <c:pt idx="2066">
                  <c:v>64924.200000000084</c:v>
                </c:pt>
                <c:pt idx="2067">
                  <c:v>64996.080000000082</c:v>
                </c:pt>
                <c:pt idx="2068">
                  <c:v>65069.760000000082</c:v>
                </c:pt>
                <c:pt idx="2069">
                  <c:v>65143.440000000082</c:v>
                </c:pt>
                <c:pt idx="2070">
                  <c:v>65206.68000000008</c:v>
                </c:pt>
                <c:pt idx="2071">
                  <c:v>65256.600000000079</c:v>
                </c:pt>
                <c:pt idx="2072">
                  <c:v>65291.760000000082</c:v>
                </c:pt>
                <c:pt idx="2073">
                  <c:v>65333.760000000082</c:v>
                </c:pt>
                <c:pt idx="2074">
                  <c:v>65386.200000000084</c:v>
                </c:pt>
                <c:pt idx="2075">
                  <c:v>65436.120000000083</c:v>
                </c:pt>
                <c:pt idx="2076">
                  <c:v>65490.720000000081</c:v>
                </c:pt>
                <c:pt idx="2077">
                  <c:v>65550.360000000088</c:v>
                </c:pt>
                <c:pt idx="2078">
                  <c:v>65609.280000000086</c:v>
                </c:pt>
                <c:pt idx="2079">
                  <c:v>65662.44000000009</c:v>
                </c:pt>
                <c:pt idx="2080">
                  <c:v>65713.44000000009</c:v>
                </c:pt>
                <c:pt idx="2081">
                  <c:v>65768.760000000097</c:v>
                </c:pt>
                <c:pt idx="2082">
                  <c:v>65825.520000000091</c:v>
                </c:pt>
                <c:pt idx="2083">
                  <c:v>65885.160000000091</c:v>
                </c:pt>
                <c:pt idx="2084">
                  <c:v>65945.520000000091</c:v>
                </c:pt>
                <c:pt idx="2085">
                  <c:v>66007.320000000094</c:v>
                </c:pt>
                <c:pt idx="2086">
                  <c:v>66068.400000000096</c:v>
                </c:pt>
                <c:pt idx="2087">
                  <c:v>66126.600000000093</c:v>
                </c:pt>
                <c:pt idx="2088">
                  <c:v>66166.44000000009</c:v>
                </c:pt>
                <c:pt idx="2089">
                  <c:v>66196.200000000084</c:v>
                </c:pt>
                <c:pt idx="2090">
                  <c:v>66234.960000000079</c:v>
                </c:pt>
                <c:pt idx="2091">
                  <c:v>66294.600000000079</c:v>
                </c:pt>
                <c:pt idx="2092">
                  <c:v>66360.360000000073</c:v>
                </c:pt>
                <c:pt idx="2093">
                  <c:v>66431.880000000077</c:v>
                </c:pt>
                <c:pt idx="2094">
                  <c:v>66494.760000000082</c:v>
                </c:pt>
                <c:pt idx="2095">
                  <c:v>66551.520000000077</c:v>
                </c:pt>
                <c:pt idx="2096">
                  <c:v>66615.480000000083</c:v>
                </c:pt>
                <c:pt idx="2097">
                  <c:v>66681.240000000078</c:v>
                </c:pt>
                <c:pt idx="2098">
                  <c:v>66753.480000000083</c:v>
                </c:pt>
                <c:pt idx="2099">
                  <c:v>66826.80000000009</c:v>
                </c:pt>
                <c:pt idx="2100">
                  <c:v>66887.880000000092</c:v>
                </c:pt>
                <c:pt idx="2101">
                  <c:v>66946.080000000089</c:v>
                </c:pt>
                <c:pt idx="2102">
                  <c:v>67008.960000000094</c:v>
                </c:pt>
                <c:pt idx="2103">
                  <c:v>67075.44000000009</c:v>
                </c:pt>
                <c:pt idx="2104">
                  <c:v>67142.640000000087</c:v>
                </c:pt>
                <c:pt idx="2105">
                  <c:v>67210.200000000084</c:v>
                </c:pt>
                <c:pt idx="2106">
                  <c:v>67278.840000000084</c:v>
                </c:pt>
                <c:pt idx="2107">
                  <c:v>67348.560000000085</c:v>
                </c:pt>
                <c:pt idx="2108">
                  <c:v>67426.200000000084</c:v>
                </c:pt>
                <c:pt idx="2109">
                  <c:v>67495.560000000085</c:v>
                </c:pt>
                <c:pt idx="2110">
                  <c:v>67560.240000000078</c:v>
                </c:pt>
                <c:pt idx="2111">
                  <c:v>67628.880000000077</c:v>
                </c:pt>
                <c:pt idx="2112">
                  <c:v>67700.040000000081</c:v>
                </c:pt>
                <c:pt idx="2113">
                  <c:v>67783.080000000075</c:v>
                </c:pt>
                <c:pt idx="2114">
                  <c:v>67866.480000000069</c:v>
                </c:pt>
                <c:pt idx="2115">
                  <c:v>67940.880000000063</c:v>
                </c:pt>
                <c:pt idx="2116">
                  <c:v>68000.880000000063</c:v>
                </c:pt>
                <c:pt idx="2117">
                  <c:v>68052.240000000063</c:v>
                </c:pt>
                <c:pt idx="2118">
                  <c:v>68111.520000000062</c:v>
                </c:pt>
                <c:pt idx="2119">
                  <c:v>68156.760000000068</c:v>
                </c:pt>
                <c:pt idx="2120">
                  <c:v>68214.600000000064</c:v>
                </c:pt>
                <c:pt idx="2121">
                  <c:v>68279.280000000057</c:v>
                </c:pt>
                <c:pt idx="2122">
                  <c:v>68344.320000000051</c:v>
                </c:pt>
                <c:pt idx="2123">
                  <c:v>68414.760000000053</c:v>
                </c:pt>
                <c:pt idx="2124">
                  <c:v>68483.040000000052</c:v>
                </c:pt>
                <c:pt idx="2125">
                  <c:v>68545.920000000056</c:v>
                </c:pt>
                <c:pt idx="2126">
                  <c:v>68610.96000000005</c:v>
                </c:pt>
                <c:pt idx="2127">
                  <c:v>68674.560000000056</c:v>
                </c:pt>
                <c:pt idx="2128">
                  <c:v>68754.360000000059</c:v>
                </c:pt>
                <c:pt idx="2129">
                  <c:v>68830.560000000056</c:v>
                </c:pt>
                <c:pt idx="2130">
                  <c:v>68884.08000000006</c:v>
                </c:pt>
                <c:pt idx="2131">
                  <c:v>68921.760000000053</c:v>
                </c:pt>
                <c:pt idx="2132">
                  <c:v>68963.760000000053</c:v>
                </c:pt>
                <c:pt idx="2133">
                  <c:v>69024.480000000054</c:v>
                </c:pt>
                <c:pt idx="2134">
                  <c:v>69091.320000000051</c:v>
                </c:pt>
                <c:pt idx="2135">
                  <c:v>69174.720000000045</c:v>
                </c:pt>
                <c:pt idx="2136">
                  <c:v>69267.120000000039</c:v>
                </c:pt>
                <c:pt idx="2137">
                  <c:v>69363.120000000039</c:v>
                </c:pt>
                <c:pt idx="2138">
                  <c:v>69465.240000000034</c:v>
                </c:pt>
                <c:pt idx="2139">
                  <c:v>69559.080000000031</c:v>
                </c:pt>
                <c:pt idx="2140">
                  <c:v>69659.040000000037</c:v>
                </c:pt>
                <c:pt idx="2141">
                  <c:v>69752.520000000033</c:v>
                </c:pt>
                <c:pt idx="2142">
                  <c:v>69851.760000000038</c:v>
                </c:pt>
                <c:pt idx="2143">
                  <c:v>69960.360000000044</c:v>
                </c:pt>
                <c:pt idx="2144">
                  <c:v>70036.560000000041</c:v>
                </c:pt>
                <c:pt idx="2145">
                  <c:v>70091.160000000047</c:v>
                </c:pt>
                <c:pt idx="2146">
                  <c:v>70140.360000000044</c:v>
                </c:pt>
                <c:pt idx="2147">
                  <c:v>70189.920000000042</c:v>
                </c:pt>
                <c:pt idx="2148">
                  <c:v>70248.48000000004</c:v>
                </c:pt>
                <c:pt idx="2149">
                  <c:v>70305.960000000036</c:v>
                </c:pt>
                <c:pt idx="2150">
                  <c:v>70359.84000000004</c:v>
                </c:pt>
                <c:pt idx="2151">
                  <c:v>70424.160000000047</c:v>
                </c:pt>
                <c:pt idx="2152">
                  <c:v>70484.160000000047</c:v>
                </c:pt>
                <c:pt idx="2153">
                  <c:v>70541.280000000042</c:v>
                </c:pt>
                <c:pt idx="2154">
                  <c:v>70597.320000000036</c:v>
                </c:pt>
                <c:pt idx="2155">
                  <c:v>70651.560000000041</c:v>
                </c:pt>
                <c:pt idx="2156">
                  <c:v>70702.920000000042</c:v>
                </c:pt>
                <c:pt idx="2157">
                  <c:v>70762.920000000042</c:v>
                </c:pt>
                <c:pt idx="2158">
                  <c:v>70828.680000000037</c:v>
                </c:pt>
                <c:pt idx="2159">
                  <c:v>70892.640000000043</c:v>
                </c:pt>
                <c:pt idx="2160">
                  <c:v>70944.000000000044</c:v>
                </c:pt>
                <c:pt idx="2161">
                  <c:v>71007.600000000049</c:v>
                </c:pt>
                <c:pt idx="2162">
                  <c:v>71075.160000000047</c:v>
                </c:pt>
                <c:pt idx="2163">
                  <c:v>71140.920000000042</c:v>
                </c:pt>
                <c:pt idx="2164">
                  <c:v>71206.680000000037</c:v>
                </c:pt>
                <c:pt idx="2165">
                  <c:v>71277.84000000004</c:v>
                </c:pt>
                <c:pt idx="2166">
                  <c:v>71341.080000000045</c:v>
                </c:pt>
                <c:pt idx="2167">
                  <c:v>71387.760000000038</c:v>
                </c:pt>
                <c:pt idx="2168">
                  <c:v>71431.920000000042</c:v>
                </c:pt>
                <c:pt idx="2169">
                  <c:v>71473.560000000041</c:v>
                </c:pt>
                <c:pt idx="2170">
                  <c:v>71523.48000000004</c:v>
                </c:pt>
                <c:pt idx="2171">
                  <c:v>71578.080000000045</c:v>
                </c:pt>
                <c:pt idx="2172">
                  <c:v>71633.040000000052</c:v>
                </c:pt>
                <c:pt idx="2173">
                  <c:v>71694.480000000054</c:v>
                </c:pt>
                <c:pt idx="2174">
                  <c:v>71754.120000000054</c:v>
                </c:pt>
                <c:pt idx="2175">
                  <c:v>71818.08000000006</c:v>
                </c:pt>
                <c:pt idx="2176">
                  <c:v>71893.200000000055</c:v>
                </c:pt>
                <c:pt idx="2177">
                  <c:v>71953.200000000055</c:v>
                </c:pt>
                <c:pt idx="2178">
                  <c:v>72007.440000000061</c:v>
                </c:pt>
                <c:pt idx="2179">
                  <c:v>72060.600000000064</c:v>
                </c:pt>
                <c:pt idx="2180">
                  <c:v>72104.760000000068</c:v>
                </c:pt>
                <c:pt idx="2181">
                  <c:v>72144.960000000065</c:v>
                </c:pt>
                <c:pt idx="2182">
                  <c:v>72174.720000000059</c:v>
                </c:pt>
                <c:pt idx="2183">
                  <c:v>72213.840000000055</c:v>
                </c:pt>
                <c:pt idx="2184">
                  <c:v>72255.840000000055</c:v>
                </c:pt>
                <c:pt idx="2185">
                  <c:v>72280.560000000056</c:v>
                </c:pt>
                <c:pt idx="2186">
                  <c:v>72299.880000000063</c:v>
                </c:pt>
                <c:pt idx="2187">
                  <c:v>72315.960000000065</c:v>
                </c:pt>
                <c:pt idx="2188">
                  <c:v>72332.760000000068</c:v>
                </c:pt>
                <c:pt idx="2189">
                  <c:v>72374.040000000066</c:v>
                </c:pt>
                <c:pt idx="2190">
                  <c:v>72422.880000000063</c:v>
                </c:pt>
                <c:pt idx="2191">
                  <c:v>72473.880000000063</c:v>
                </c:pt>
                <c:pt idx="2192">
                  <c:v>72524.520000000062</c:v>
                </c:pt>
                <c:pt idx="2193">
                  <c:v>72591.000000000058</c:v>
                </c:pt>
                <c:pt idx="2194">
                  <c:v>72651.360000000059</c:v>
                </c:pt>
                <c:pt idx="2195">
                  <c:v>72707.040000000052</c:v>
                </c:pt>
                <c:pt idx="2196">
                  <c:v>72754.080000000045</c:v>
                </c:pt>
                <c:pt idx="2197">
                  <c:v>72786.720000000045</c:v>
                </c:pt>
                <c:pt idx="2198">
                  <c:v>72811.800000000047</c:v>
                </c:pt>
                <c:pt idx="2199">
                  <c:v>72863.520000000048</c:v>
                </c:pt>
                <c:pt idx="2200">
                  <c:v>72916.320000000051</c:v>
                </c:pt>
                <c:pt idx="2201">
                  <c:v>72969.840000000055</c:v>
                </c:pt>
                <c:pt idx="2202">
                  <c:v>73029.840000000055</c:v>
                </c:pt>
                <c:pt idx="2203">
                  <c:v>73088.040000000052</c:v>
                </c:pt>
                <c:pt idx="2204">
                  <c:v>73141.920000000056</c:v>
                </c:pt>
                <c:pt idx="2205">
                  <c:v>73184.280000000057</c:v>
                </c:pt>
                <c:pt idx="2206">
                  <c:v>73222.680000000051</c:v>
                </c:pt>
                <c:pt idx="2207">
                  <c:v>73254.96000000005</c:v>
                </c:pt>
                <c:pt idx="2208">
                  <c:v>73285.440000000046</c:v>
                </c:pt>
                <c:pt idx="2209">
                  <c:v>73326.720000000045</c:v>
                </c:pt>
                <c:pt idx="2210">
                  <c:v>73369.440000000046</c:v>
                </c:pt>
                <c:pt idx="2211">
                  <c:v>73410.360000000044</c:v>
                </c:pt>
                <c:pt idx="2212">
                  <c:v>73452.720000000045</c:v>
                </c:pt>
                <c:pt idx="2213">
                  <c:v>73501.200000000041</c:v>
                </c:pt>
                <c:pt idx="2214">
                  <c:v>73543.560000000041</c:v>
                </c:pt>
                <c:pt idx="2215">
                  <c:v>73571.520000000048</c:v>
                </c:pt>
                <c:pt idx="2216">
                  <c:v>73593.000000000044</c:v>
                </c:pt>
                <c:pt idx="2217">
                  <c:v>73618.440000000046</c:v>
                </c:pt>
                <c:pt idx="2218">
                  <c:v>73650.360000000044</c:v>
                </c:pt>
                <c:pt idx="2219">
                  <c:v>73689.48000000004</c:v>
                </c:pt>
                <c:pt idx="2220">
                  <c:v>73729.320000000036</c:v>
                </c:pt>
                <c:pt idx="2221">
                  <c:v>73756.920000000042</c:v>
                </c:pt>
                <c:pt idx="2222">
                  <c:v>73788.48000000004</c:v>
                </c:pt>
                <c:pt idx="2223">
                  <c:v>73827.960000000036</c:v>
                </c:pt>
                <c:pt idx="2224">
                  <c:v>73867.800000000032</c:v>
                </c:pt>
                <c:pt idx="2225">
                  <c:v>73904.400000000038</c:v>
                </c:pt>
                <c:pt idx="2226">
                  <c:v>73917.960000000036</c:v>
                </c:pt>
                <c:pt idx="2227">
                  <c:v>73923.960000000036</c:v>
                </c:pt>
                <c:pt idx="2228">
                  <c:v>73929.960000000036</c:v>
                </c:pt>
                <c:pt idx="2229">
                  <c:v>73942.800000000032</c:v>
                </c:pt>
                <c:pt idx="2230">
                  <c:v>73971.840000000026</c:v>
                </c:pt>
                <c:pt idx="2231">
                  <c:v>74000.520000000019</c:v>
                </c:pt>
                <c:pt idx="2232">
                  <c:v>74025.960000000021</c:v>
                </c:pt>
                <c:pt idx="2233">
                  <c:v>74048.520000000019</c:v>
                </c:pt>
                <c:pt idx="2234">
                  <c:v>74072.880000000019</c:v>
                </c:pt>
                <c:pt idx="2235">
                  <c:v>74095.440000000017</c:v>
                </c:pt>
                <c:pt idx="2236">
                  <c:v>74124.48000000001</c:v>
                </c:pt>
                <c:pt idx="2237">
                  <c:v>74154.960000000006</c:v>
                </c:pt>
                <c:pt idx="2238">
                  <c:v>74177.16</c:v>
                </c:pt>
                <c:pt idx="2239">
                  <c:v>74197.919999999998</c:v>
                </c:pt>
                <c:pt idx="2240">
                  <c:v>74223.360000000001</c:v>
                </c:pt>
                <c:pt idx="2241">
                  <c:v>74245.2</c:v>
                </c:pt>
                <c:pt idx="2242">
                  <c:v>74271.360000000001</c:v>
                </c:pt>
                <c:pt idx="2243">
                  <c:v>74301.119999999995</c:v>
                </c:pt>
                <c:pt idx="2244">
                  <c:v>74325.48</c:v>
                </c:pt>
                <c:pt idx="2245">
                  <c:v>74349.84</c:v>
                </c:pt>
                <c:pt idx="2246">
                  <c:v>74375.64</c:v>
                </c:pt>
                <c:pt idx="2247">
                  <c:v>74403.960000000006</c:v>
                </c:pt>
                <c:pt idx="2248">
                  <c:v>74425.8</c:v>
                </c:pt>
                <c:pt idx="2249">
                  <c:v>74440.08</c:v>
                </c:pt>
                <c:pt idx="2250">
                  <c:v>74447.16</c:v>
                </c:pt>
                <c:pt idx="2251">
                  <c:v>74453.16</c:v>
                </c:pt>
                <c:pt idx="2252">
                  <c:v>74459.16</c:v>
                </c:pt>
                <c:pt idx="2253">
                  <c:v>74465.16</c:v>
                </c:pt>
                <c:pt idx="2254">
                  <c:v>74471.16</c:v>
                </c:pt>
                <c:pt idx="2255">
                  <c:v>74477.16</c:v>
                </c:pt>
                <c:pt idx="2256">
                  <c:v>74483.16</c:v>
                </c:pt>
                <c:pt idx="2257">
                  <c:v>74489.16</c:v>
                </c:pt>
                <c:pt idx="2258">
                  <c:v>74495.16</c:v>
                </c:pt>
                <c:pt idx="2259">
                  <c:v>74501.16</c:v>
                </c:pt>
                <c:pt idx="2260">
                  <c:v>74507.16</c:v>
                </c:pt>
                <c:pt idx="2261">
                  <c:v>74525.040000000008</c:v>
                </c:pt>
                <c:pt idx="2262">
                  <c:v>74535.360000000015</c:v>
                </c:pt>
                <c:pt idx="2263">
                  <c:v>74541.360000000015</c:v>
                </c:pt>
                <c:pt idx="2264">
                  <c:v>74547.360000000015</c:v>
                </c:pt>
                <c:pt idx="2265">
                  <c:v>74553.360000000015</c:v>
                </c:pt>
                <c:pt idx="2266">
                  <c:v>74559.360000000015</c:v>
                </c:pt>
                <c:pt idx="2267">
                  <c:v>74565.360000000015</c:v>
                </c:pt>
                <c:pt idx="2268">
                  <c:v>74571.360000000015</c:v>
                </c:pt>
                <c:pt idx="2269">
                  <c:v>74577.360000000015</c:v>
                </c:pt>
                <c:pt idx="2270">
                  <c:v>74583.360000000015</c:v>
                </c:pt>
                <c:pt idx="2271">
                  <c:v>74589.360000000015</c:v>
                </c:pt>
                <c:pt idx="2272">
                  <c:v>74595.360000000015</c:v>
                </c:pt>
                <c:pt idx="2273">
                  <c:v>74601.360000000015</c:v>
                </c:pt>
                <c:pt idx="2274">
                  <c:v>74607.360000000015</c:v>
                </c:pt>
                <c:pt idx="2275">
                  <c:v>74613.360000000015</c:v>
                </c:pt>
                <c:pt idx="2276">
                  <c:v>74619.360000000015</c:v>
                </c:pt>
                <c:pt idx="2277">
                  <c:v>74625.360000000015</c:v>
                </c:pt>
                <c:pt idx="2278">
                  <c:v>74631.360000000015</c:v>
                </c:pt>
                <c:pt idx="2279">
                  <c:v>74638.800000000017</c:v>
                </c:pt>
                <c:pt idx="2280">
                  <c:v>74650.560000000012</c:v>
                </c:pt>
                <c:pt idx="2281">
                  <c:v>74656.560000000012</c:v>
                </c:pt>
                <c:pt idx="2282">
                  <c:v>74662.560000000012</c:v>
                </c:pt>
                <c:pt idx="2283">
                  <c:v>74668.560000000012</c:v>
                </c:pt>
                <c:pt idx="2284">
                  <c:v>74674.560000000012</c:v>
                </c:pt>
                <c:pt idx="2285">
                  <c:v>74680.560000000012</c:v>
                </c:pt>
                <c:pt idx="2286">
                  <c:v>74686.560000000012</c:v>
                </c:pt>
                <c:pt idx="2287">
                  <c:v>74692.560000000012</c:v>
                </c:pt>
                <c:pt idx="2288">
                  <c:v>74698.560000000012</c:v>
                </c:pt>
                <c:pt idx="2289">
                  <c:v>74704.560000000012</c:v>
                </c:pt>
                <c:pt idx="2290">
                  <c:v>74710.560000000012</c:v>
                </c:pt>
                <c:pt idx="2291">
                  <c:v>74716.560000000012</c:v>
                </c:pt>
                <c:pt idx="2292">
                  <c:v>74722.560000000012</c:v>
                </c:pt>
                <c:pt idx="2293">
                  <c:v>74728.560000000012</c:v>
                </c:pt>
                <c:pt idx="2294">
                  <c:v>74734.560000000012</c:v>
                </c:pt>
                <c:pt idx="2295">
                  <c:v>74740.560000000012</c:v>
                </c:pt>
                <c:pt idx="2296">
                  <c:v>74746.560000000012</c:v>
                </c:pt>
                <c:pt idx="2297">
                  <c:v>74752.560000000012</c:v>
                </c:pt>
                <c:pt idx="2298">
                  <c:v>74761.080000000016</c:v>
                </c:pt>
                <c:pt idx="2299">
                  <c:v>74767.080000000016</c:v>
                </c:pt>
                <c:pt idx="2300">
                  <c:v>74773.080000000016</c:v>
                </c:pt>
                <c:pt idx="2301">
                  <c:v>74779.080000000016</c:v>
                </c:pt>
                <c:pt idx="2302">
                  <c:v>74785.080000000016</c:v>
                </c:pt>
                <c:pt idx="2303">
                  <c:v>74791.080000000016</c:v>
                </c:pt>
                <c:pt idx="2304">
                  <c:v>74797.080000000016</c:v>
                </c:pt>
                <c:pt idx="2305">
                  <c:v>74803.080000000016</c:v>
                </c:pt>
                <c:pt idx="2306">
                  <c:v>74809.080000000016</c:v>
                </c:pt>
                <c:pt idx="2307">
                  <c:v>74815.080000000016</c:v>
                </c:pt>
                <c:pt idx="2308">
                  <c:v>74821.080000000016</c:v>
                </c:pt>
                <c:pt idx="2309">
                  <c:v>74827.080000000016</c:v>
                </c:pt>
                <c:pt idx="2310">
                  <c:v>74837.400000000023</c:v>
                </c:pt>
                <c:pt idx="2311">
                  <c:v>74845.200000000026</c:v>
                </c:pt>
                <c:pt idx="2312">
                  <c:v>74851.200000000026</c:v>
                </c:pt>
                <c:pt idx="2313">
                  <c:v>74857.200000000026</c:v>
                </c:pt>
                <c:pt idx="2314">
                  <c:v>74865.36000000003</c:v>
                </c:pt>
                <c:pt idx="2315">
                  <c:v>74872.440000000031</c:v>
                </c:pt>
                <c:pt idx="2316">
                  <c:v>74878.440000000031</c:v>
                </c:pt>
                <c:pt idx="2317">
                  <c:v>74884.440000000031</c:v>
                </c:pt>
                <c:pt idx="2318">
                  <c:v>74890.440000000031</c:v>
                </c:pt>
                <c:pt idx="2319">
                  <c:v>74896.440000000031</c:v>
                </c:pt>
                <c:pt idx="2320">
                  <c:v>74902.440000000031</c:v>
                </c:pt>
                <c:pt idx="2321">
                  <c:v>74908.440000000031</c:v>
                </c:pt>
                <c:pt idx="2322">
                  <c:v>74914.440000000031</c:v>
                </c:pt>
                <c:pt idx="2323">
                  <c:v>74920.440000000031</c:v>
                </c:pt>
                <c:pt idx="2324">
                  <c:v>74926.440000000031</c:v>
                </c:pt>
                <c:pt idx="2325">
                  <c:v>74932.440000000031</c:v>
                </c:pt>
                <c:pt idx="2326">
                  <c:v>74946.000000000029</c:v>
                </c:pt>
                <c:pt idx="2327">
                  <c:v>74955.600000000035</c:v>
                </c:pt>
                <c:pt idx="2328">
                  <c:v>74961.600000000035</c:v>
                </c:pt>
                <c:pt idx="2329">
                  <c:v>74967.600000000035</c:v>
                </c:pt>
                <c:pt idx="2330">
                  <c:v>74973.600000000035</c:v>
                </c:pt>
                <c:pt idx="2331">
                  <c:v>74979.600000000035</c:v>
                </c:pt>
                <c:pt idx="2332">
                  <c:v>74987.400000000038</c:v>
                </c:pt>
                <c:pt idx="2333">
                  <c:v>75002.040000000037</c:v>
                </c:pt>
                <c:pt idx="2334">
                  <c:v>75014.160000000033</c:v>
                </c:pt>
                <c:pt idx="2335">
                  <c:v>75027.72000000003</c:v>
                </c:pt>
                <c:pt idx="2336">
                  <c:v>75048.480000000025</c:v>
                </c:pt>
                <c:pt idx="2337">
                  <c:v>75067.440000000031</c:v>
                </c:pt>
                <c:pt idx="2338">
                  <c:v>75082.800000000032</c:v>
                </c:pt>
                <c:pt idx="2339">
                  <c:v>75099.600000000035</c:v>
                </c:pt>
                <c:pt idx="2340">
                  <c:v>75114.960000000036</c:v>
                </c:pt>
                <c:pt idx="2341">
                  <c:v>75126.000000000029</c:v>
                </c:pt>
                <c:pt idx="2342">
                  <c:v>75134.160000000033</c:v>
                </c:pt>
                <c:pt idx="2343">
                  <c:v>75140.520000000033</c:v>
                </c:pt>
                <c:pt idx="2344">
                  <c:v>75146.520000000033</c:v>
                </c:pt>
                <c:pt idx="2345">
                  <c:v>75152.520000000033</c:v>
                </c:pt>
                <c:pt idx="2346">
                  <c:v>75158.520000000033</c:v>
                </c:pt>
                <c:pt idx="2347">
                  <c:v>75164.520000000033</c:v>
                </c:pt>
                <c:pt idx="2348">
                  <c:v>75170.520000000033</c:v>
                </c:pt>
                <c:pt idx="2349">
                  <c:v>75176.520000000033</c:v>
                </c:pt>
                <c:pt idx="2350">
                  <c:v>75182.520000000033</c:v>
                </c:pt>
                <c:pt idx="2351">
                  <c:v>75188.520000000033</c:v>
                </c:pt>
                <c:pt idx="2352">
                  <c:v>75194.520000000033</c:v>
                </c:pt>
                <c:pt idx="2353">
                  <c:v>75200.520000000033</c:v>
                </c:pt>
                <c:pt idx="2354">
                  <c:v>75206.520000000033</c:v>
                </c:pt>
                <c:pt idx="2355">
                  <c:v>75212.520000000033</c:v>
                </c:pt>
                <c:pt idx="2356">
                  <c:v>75218.520000000033</c:v>
                </c:pt>
                <c:pt idx="2357">
                  <c:v>75233.520000000033</c:v>
                </c:pt>
                <c:pt idx="2358">
                  <c:v>75249.600000000035</c:v>
                </c:pt>
                <c:pt idx="2359">
                  <c:v>75274.680000000037</c:v>
                </c:pt>
                <c:pt idx="2360">
                  <c:v>75301.200000000041</c:v>
                </c:pt>
                <c:pt idx="2361">
                  <c:v>75325.920000000042</c:v>
                </c:pt>
                <c:pt idx="2362">
                  <c:v>75345.960000000036</c:v>
                </c:pt>
                <c:pt idx="2363">
                  <c:v>75358.080000000031</c:v>
                </c:pt>
                <c:pt idx="2364">
                  <c:v>75368.040000000037</c:v>
                </c:pt>
                <c:pt idx="2365">
                  <c:v>75375.120000000039</c:v>
                </c:pt>
                <c:pt idx="2366">
                  <c:v>75383.280000000042</c:v>
                </c:pt>
                <c:pt idx="2367">
                  <c:v>75390.360000000044</c:v>
                </c:pt>
                <c:pt idx="2368">
                  <c:v>75399.96000000005</c:v>
                </c:pt>
                <c:pt idx="2369">
                  <c:v>75414.240000000049</c:v>
                </c:pt>
                <c:pt idx="2370">
                  <c:v>75439.320000000051</c:v>
                </c:pt>
                <c:pt idx="2371">
                  <c:v>75468.720000000045</c:v>
                </c:pt>
                <c:pt idx="2372">
                  <c:v>75489.120000000039</c:v>
                </c:pt>
                <c:pt idx="2373">
                  <c:v>75510.240000000034</c:v>
                </c:pt>
                <c:pt idx="2374">
                  <c:v>75529.920000000027</c:v>
                </c:pt>
                <c:pt idx="2375">
                  <c:v>75543.120000000024</c:v>
                </c:pt>
                <c:pt idx="2376">
                  <c:v>75564.60000000002</c:v>
                </c:pt>
                <c:pt idx="2377">
                  <c:v>75588.60000000002</c:v>
                </c:pt>
                <c:pt idx="2378">
                  <c:v>75612.960000000021</c:v>
                </c:pt>
                <c:pt idx="2379">
                  <c:v>75653.520000000019</c:v>
                </c:pt>
                <c:pt idx="2380">
                  <c:v>75701.280000000013</c:v>
                </c:pt>
                <c:pt idx="2381">
                  <c:v>75745.080000000016</c:v>
                </c:pt>
                <c:pt idx="2382">
                  <c:v>75781.680000000022</c:v>
                </c:pt>
                <c:pt idx="2383">
                  <c:v>75825.480000000025</c:v>
                </c:pt>
                <c:pt idx="2384">
                  <c:v>75868.200000000026</c:v>
                </c:pt>
                <c:pt idx="2385">
                  <c:v>75895.440000000031</c:v>
                </c:pt>
                <c:pt idx="2386">
                  <c:v>75936.36000000003</c:v>
                </c:pt>
                <c:pt idx="2387">
                  <c:v>75984.120000000024</c:v>
                </c:pt>
                <c:pt idx="2388">
                  <c:v>76015.680000000022</c:v>
                </c:pt>
                <c:pt idx="2389">
                  <c:v>76043.280000000028</c:v>
                </c:pt>
                <c:pt idx="2390">
                  <c:v>76051.440000000031</c:v>
                </c:pt>
                <c:pt idx="2391">
                  <c:v>76069.320000000036</c:v>
                </c:pt>
                <c:pt idx="2392">
                  <c:v>76106.280000000042</c:v>
                </c:pt>
                <c:pt idx="2393">
                  <c:v>76146.84000000004</c:v>
                </c:pt>
                <c:pt idx="2394">
                  <c:v>76197.48000000004</c:v>
                </c:pt>
                <c:pt idx="2395">
                  <c:v>76248.48000000004</c:v>
                </c:pt>
                <c:pt idx="2396">
                  <c:v>76292.640000000043</c:v>
                </c:pt>
                <c:pt idx="2397">
                  <c:v>76331.400000000038</c:v>
                </c:pt>
                <c:pt idx="2398">
                  <c:v>76375.920000000042</c:v>
                </c:pt>
                <c:pt idx="2399">
                  <c:v>76418.640000000043</c:v>
                </c:pt>
                <c:pt idx="2400">
                  <c:v>76459.920000000042</c:v>
                </c:pt>
                <c:pt idx="2401">
                  <c:v>76500.120000000039</c:v>
                </c:pt>
                <c:pt idx="2402">
                  <c:v>76542.48000000004</c:v>
                </c:pt>
                <c:pt idx="2403">
                  <c:v>76581.240000000034</c:v>
                </c:pt>
                <c:pt idx="2404">
                  <c:v>76625.760000000038</c:v>
                </c:pt>
                <c:pt idx="2405">
                  <c:v>76664.160000000033</c:v>
                </c:pt>
                <c:pt idx="2406">
                  <c:v>76707.600000000035</c:v>
                </c:pt>
                <c:pt idx="2407">
                  <c:v>76752.48000000004</c:v>
                </c:pt>
                <c:pt idx="2408">
                  <c:v>76803.48000000004</c:v>
                </c:pt>
                <c:pt idx="2409">
                  <c:v>76846.200000000041</c:v>
                </c:pt>
                <c:pt idx="2410">
                  <c:v>76892.520000000048</c:v>
                </c:pt>
                <c:pt idx="2411">
                  <c:v>76946.760000000053</c:v>
                </c:pt>
                <c:pt idx="2412">
                  <c:v>77002.440000000046</c:v>
                </c:pt>
                <c:pt idx="2413">
                  <c:v>77055.240000000049</c:v>
                </c:pt>
                <c:pt idx="2414">
                  <c:v>77105.880000000048</c:v>
                </c:pt>
                <c:pt idx="2415">
                  <c:v>77155.080000000045</c:v>
                </c:pt>
                <c:pt idx="2416">
                  <c:v>77206.800000000047</c:v>
                </c:pt>
                <c:pt idx="2417">
                  <c:v>77254.920000000042</c:v>
                </c:pt>
                <c:pt idx="2418">
                  <c:v>77306.640000000043</c:v>
                </c:pt>
                <c:pt idx="2419">
                  <c:v>77350.080000000045</c:v>
                </c:pt>
                <c:pt idx="2420">
                  <c:v>77387.040000000052</c:v>
                </c:pt>
                <c:pt idx="2421">
                  <c:v>77421.840000000055</c:v>
                </c:pt>
                <c:pt idx="2422">
                  <c:v>77471.760000000053</c:v>
                </c:pt>
                <c:pt idx="2423">
                  <c:v>77522.760000000053</c:v>
                </c:pt>
                <c:pt idx="2424">
                  <c:v>77580.96000000005</c:v>
                </c:pt>
                <c:pt idx="2425">
                  <c:v>77632.320000000051</c:v>
                </c:pt>
                <c:pt idx="2426">
                  <c:v>77694.120000000054</c:v>
                </c:pt>
                <c:pt idx="2427">
                  <c:v>77757.360000000059</c:v>
                </c:pt>
                <c:pt idx="2428">
                  <c:v>77820.600000000064</c:v>
                </c:pt>
                <c:pt idx="2429">
                  <c:v>77887.08000000006</c:v>
                </c:pt>
                <c:pt idx="2430">
                  <c:v>77953.200000000055</c:v>
                </c:pt>
                <c:pt idx="2431">
                  <c:v>78012.840000000055</c:v>
                </c:pt>
                <c:pt idx="2432">
                  <c:v>78058.440000000061</c:v>
                </c:pt>
                <c:pt idx="2433">
                  <c:v>78110.520000000062</c:v>
                </c:pt>
                <c:pt idx="2434">
                  <c:v>78180.960000000065</c:v>
                </c:pt>
                <c:pt idx="2435">
                  <c:v>78250.680000000066</c:v>
                </c:pt>
                <c:pt idx="2436">
                  <c:v>78310.680000000066</c:v>
                </c:pt>
                <c:pt idx="2437">
                  <c:v>78377.520000000062</c:v>
                </c:pt>
                <c:pt idx="2438">
                  <c:v>78445.08000000006</c:v>
                </c:pt>
                <c:pt idx="2439">
                  <c:v>78515.880000000063</c:v>
                </c:pt>
                <c:pt idx="2440">
                  <c:v>78583.08000000006</c:v>
                </c:pt>
                <c:pt idx="2441">
                  <c:v>78650.640000000058</c:v>
                </c:pt>
                <c:pt idx="2442">
                  <c:v>78718.200000000055</c:v>
                </c:pt>
                <c:pt idx="2443">
                  <c:v>78784.680000000051</c:v>
                </c:pt>
                <c:pt idx="2444">
                  <c:v>78839.280000000057</c:v>
                </c:pt>
                <c:pt idx="2445">
                  <c:v>78887.760000000053</c:v>
                </c:pt>
                <c:pt idx="2446">
                  <c:v>78933.360000000059</c:v>
                </c:pt>
                <c:pt idx="2447">
                  <c:v>78978.600000000064</c:v>
                </c:pt>
                <c:pt idx="2448">
                  <c:v>79032.840000000069</c:v>
                </c:pt>
                <c:pt idx="2449">
                  <c:v>79090.320000000065</c:v>
                </c:pt>
                <c:pt idx="2450">
                  <c:v>79139.880000000063</c:v>
                </c:pt>
                <c:pt idx="2451">
                  <c:v>79202.760000000068</c:v>
                </c:pt>
                <c:pt idx="2452">
                  <c:v>79271.760000000068</c:v>
                </c:pt>
                <c:pt idx="2453">
                  <c:v>79349.040000000066</c:v>
                </c:pt>
                <c:pt idx="2454">
                  <c:v>79426.320000000065</c:v>
                </c:pt>
                <c:pt idx="2455">
                  <c:v>79470.480000000069</c:v>
                </c:pt>
                <c:pt idx="2456">
                  <c:v>79543.800000000076</c:v>
                </c:pt>
                <c:pt idx="2457">
                  <c:v>79635.480000000069</c:v>
                </c:pt>
                <c:pt idx="2458">
                  <c:v>79710.960000000065</c:v>
                </c:pt>
                <c:pt idx="2459">
                  <c:v>79778.520000000062</c:v>
                </c:pt>
                <c:pt idx="2460">
                  <c:v>79835.280000000057</c:v>
                </c:pt>
                <c:pt idx="2461">
                  <c:v>79869.360000000059</c:v>
                </c:pt>
                <c:pt idx="2462">
                  <c:v>79894.08000000006</c:v>
                </c:pt>
                <c:pt idx="2463">
                  <c:v>79923.480000000054</c:v>
                </c:pt>
                <c:pt idx="2464">
                  <c:v>79965.120000000054</c:v>
                </c:pt>
                <c:pt idx="2465">
                  <c:v>80000.280000000057</c:v>
                </c:pt>
                <c:pt idx="2466">
                  <c:v>80039.400000000052</c:v>
                </c:pt>
                <c:pt idx="2467">
                  <c:v>80094.000000000058</c:v>
                </c:pt>
                <c:pt idx="2468">
                  <c:v>80159.760000000053</c:v>
                </c:pt>
                <c:pt idx="2469">
                  <c:v>80232.360000000059</c:v>
                </c:pt>
                <c:pt idx="2470">
                  <c:v>80297.400000000052</c:v>
                </c:pt>
                <c:pt idx="2471">
                  <c:v>80362.800000000047</c:v>
                </c:pt>
                <c:pt idx="2472">
                  <c:v>80422.800000000047</c:v>
                </c:pt>
                <c:pt idx="2473">
                  <c:v>80498.640000000043</c:v>
                </c:pt>
                <c:pt idx="2474">
                  <c:v>80571.96000000005</c:v>
                </c:pt>
                <c:pt idx="2475">
                  <c:v>80636.280000000057</c:v>
                </c:pt>
                <c:pt idx="2476">
                  <c:v>80693.760000000053</c:v>
                </c:pt>
                <c:pt idx="2477">
                  <c:v>80753.400000000052</c:v>
                </c:pt>
                <c:pt idx="2478">
                  <c:v>80825.280000000057</c:v>
                </c:pt>
                <c:pt idx="2479">
                  <c:v>80881.320000000051</c:v>
                </c:pt>
                <c:pt idx="2480">
                  <c:v>80946.000000000044</c:v>
                </c:pt>
                <c:pt idx="2481">
                  <c:v>81008.160000000047</c:v>
                </c:pt>
                <c:pt idx="2482">
                  <c:v>81071.040000000052</c:v>
                </c:pt>
                <c:pt idx="2483">
                  <c:v>81143.640000000058</c:v>
                </c:pt>
                <c:pt idx="2484">
                  <c:v>81205.08000000006</c:v>
                </c:pt>
                <c:pt idx="2485">
                  <c:v>81260.040000000066</c:v>
                </c:pt>
                <c:pt idx="2486">
                  <c:v>81316.440000000061</c:v>
                </c:pt>
                <c:pt idx="2487">
                  <c:v>81374.640000000058</c:v>
                </c:pt>
                <c:pt idx="2488">
                  <c:v>81437.520000000062</c:v>
                </c:pt>
                <c:pt idx="2489">
                  <c:v>81500.040000000066</c:v>
                </c:pt>
                <c:pt idx="2490">
                  <c:v>81555.000000000073</c:v>
                </c:pt>
                <c:pt idx="2491">
                  <c:v>81609.600000000079</c:v>
                </c:pt>
                <c:pt idx="2492">
                  <c:v>81658.800000000076</c:v>
                </c:pt>
                <c:pt idx="2493">
                  <c:v>81718.440000000075</c:v>
                </c:pt>
                <c:pt idx="2494">
                  <c:v>81780.240000000078</c:v>
                </c:pt>
                <c:pt idx="2495">
                  <c:v>81832.68000000008</c:v>
                </c:pt>
                <c:pt idx="2496">
                  <c:v>81886.920000000086</c:v>
                </c:pt>
                <c:pt idx="2497">
                  <c:v>81932.880000000092</c:v>
                </c:pt>
                <c:pt idx="2498">
                  <c:v>81987.120000000097</c:v>
                </c:pt>
                <c:pt idx="2499">
                  <c:v>82035.960000000094</c:v>
                </c:pt>
                <c:pt idx="2500">
                  <c:v>82090.5600000001</c:v>
                </c:pt>
                <c:pt idx="2501">
                  <c:v>82140.480000000098</c:v>
                </c:pt>
                <c:pt idx="2502">
                  <c:v>82182.120000000097</c:v>
                </c:pt>
                <c:pt idx="2503">
                  <c:v>82222.680000000095</c:v>
                </c:pt>
                <c:pt idx="2504">
                  <c:v>82272.960000000094</c:v>
                </c:pt>
                <c:pt idx="2505">
                  <c:v>82335.120000000097</c:v>
                </c:pt>
                <c:pt idx="2506">
                  <c:v>82395.480000000098</c:v>
                </c:pt>
                <c:pt idx="2507">
                  <c:v>82454.760000000097</c:v>
                </c:pt>
                <c:pt idx="2508">
                  <c:v>82504.680000000095</c:v>
                </c:pt>
                <c:pt idx="2509">
                  <c:v>82549.5600000001</c:v>
                </c:pt>
                <c:pt idx="2510">
                  <c:v>82585.440000000104</c:v>
                </c:pt>
                <c:pt idx="2511">
                  <c:v>82627.080000000104</c:v>
                </c:pt>
                <c:pt idx="2512">
                  <c:v>82671.600000000108</c:v>
                </c:pt>
                <c:pt idx="2513">
                  <c:v>82715.400000000111</c:v>
                </c:pt>
                <c:pt idx="2514">
                  <c:v>82756.320000000109</c:v>
                </c:pt>
                <c:pt idx="2515">
                  <c:v>82805.520000000106</c:v>
                </c:pt>
                <c:pt idx="2516">
                  <c:v>82850.400000000111</c:v>
                </c:pt>
                <c:pt idx="2517">
                  <c:v>82899.600000000108</c:v>
                </c:pt>
                <c:pt idx="2518">
                  <c:v>82953.120000000112</c:v>
                </c:pt>
                <c:pt idx="2519">
                  <c:v>83009.520000000106</c:v>
                </c:pt>
                <c:pt idx="2520">
                  <c:v>83069.160000000105</c:v>
                </c:pt>
                <c:pt idx="2521">
                  <c:v>83139.600000000108</c:v>
                </c:pt>
                <c:pt idx="2522">
                  <c:v>83210.04000000011</c:v>
                </c:pt>
                <c:pt idx="2523">
                  <c:v>83280.120000000112</c:v>
                </c:pt>
                <c:pt idx="2524">
                  <c:v>83347.680000000109</c:v>
                </c:pt>
                <c:pt idx="2525">
                  <c:v>83415.600000000108</c:v>
                </c:pt>
                <c:pt idx="2526">
                  <c:v>83479.560000000114</c:v>
                </c:pt>
                <c:pt idx="2527">
                  <c:v>83550.720000000118</c:v>
                </c:pt>
                <c:pt idx="2528">
                  <c:v>83616.480000000112</c:v>
                </c:pt>
                <c:pt idx="2529">
                  <c:v>83679.360000000117</c:v>
                </c:pt>
                <c:pt idx="2530">
                  <c:v>83735.760000000111</c:v>
                </c:pt>
                <c:pt idx="2531">
                  <c:v>83797.560000000114</c:v>
                </c:pt>
                <c:pt idx="2532">
                  <c:v>83864.04000000011</c:v>
                </c:pt>
                <c:pt idx="2533">
                  <c:v>83924.400000000111</c:v>
                </c:pt>
                <c:pt idx="2534">
                  <c:v>83978.280000000115</c:v>
                </c:pt>
                <c:pt idx="2535">
                  <c:v>84026.04000000011</c:v>
                </c:pt>
                <c:pt idx="2536">
                  <c:v>84070.560000000114</c:v>
                </c:pt>
                <c:pt idx="2537">
                  <c:v>84110.04000000011</c:v>
                </c:pt>
                <c:pt idx="2538">
                  <c:v>84150.960000000108</c:v>
                </c:pt>
                <c:pt idx="2539">
                  <c:v>84192.600000000108</c:v>
                </c:pt>
                <c:pt idx="2540">
                  <c:v>84242.520000000106</c:v>
                </c:pt>
                <c:pt idx="2541">
                  <c:v>84292.080000000104</c:v>
                </c:pt>
                <c:pt idx="2542">
                  <c:v>84340.5600000001</c:v>
                </c:pt>
                <c:pt idx="2543">
                  <c:v>84378.960000000094</c:v>
                </c:pt>
                <c:pt idx="2544">
                  <c:v>84415.200000000099</c:v>
                </c:pt>
                <c:pt idx="2545">
                  <c:v>84448.9200000001</c:v>
                </c:pt>
                <c:pt idx="2546">
                  <c:v>84488.400000000096</c:v>
                </c:pt>
                <c:pt idx="2547">
                  <c:v>84519.600000000093</c:v>
                </c:pt>
                <c:pt idx="2548">
                  <c:v>84546.120000000097</c:v>
                </c:pt>
                <c:pt idx="2549">
                  <c:v>84572.640000000101</c:v>
                </c:pt>
                <c:pt idx="2550">
                  <c:v>84606.360000000102</c:v>
                </c:pt>
                <c:pt idx="2551">
                  <c:v>84650.880000000107</c:v>
                </c:pt>
                <c:pt idx="2552">
                  <c:v>84704.760000000111</c:v>
                </c:pt>
                <c:pt idx="2553">
                  <c:v>84765.840000000113</c:v>
                </c:pt>
                <c:pt idx="2554">
                  <c:v>84827.280000000115</c:v>
                </c:pt>
                <c:pt idx="2555">
                  <c:v>84892.680000000109</c:v>
                </c:pt>
                <c:pt idx="2556">
                  <c:v>84948.360000000102</c:v>
                </c:pt>
                <c:pt idx="2557">
                  <c:v>84992.160000000105</c:v>
                </c:pt>
                <c:pt idx="2558">
                  <c:v>85019.760000000111</c:v>
                </c:pt>
                <c:pt idx="2559">
                  <c:v>85045.200000000114</c:v>
                </c:pt>
                <c:pt idx="2560">
                  <c:v>85086.840000000113</c:v>
                </c:pt>
                <c:pt idx="2561">
                  <c:v>85138.560000000114</c:v>
                </c:pt>
                <c:pt idx="2562">
                  <c:v>85192.800000000119</c:v>
                </c:pt>
                <c:pt idx="2563">
                  <c:v>85238.400000000125</c:v>
                </c:pt>
                <c:pt idx="2564">
                  <c:v>85275.360000000132</c:v>
                </c:pt>
                <c:pt idx="2565">
                  <c:v>85298.28000000013</c:v>
                </c:pt>
                <c:pt idx="2566">
                  <c:v>85315.800000000134</c:v>
                </c:pt>
                <c:pt idx="2567">
                  <c:v>85343.76000000014</c:v>
                </c:pt>
                <c:pt idx="2568">
                  <c:v>85388.280000000144</c:v>
                </c:pt>
                <c:pt idx="2569">
                  <c:v>85432.800000000148</c:v>
                </c:pt>
                <c:pt idx="2570">
                  <c:v>85470.120000000155</c:v>
                </c:pt>
                <c:pt idx="2571">
                  <c:v>85514.640000000159</c:v>
                </c:pt>
                <c:pt idx="2572">
                  <c:v>85567.800000000163</c:v>
                </c:pt>
                <c:pt idx="2573">
                  <c:v>85608.360000000161</c:v>
                </c:pt>
                <c:pt idx="2574">
                  <c:v>85645.320000000167</c:v>
                </c:pt>
                <c:pt idx="2575">
                  <c:v>85675.080000000162</c:v>
                </c:pt>
                <c:pt idx="2576">
                  <c:v>85711.680000000168</c:v>
                </c:pt>
                <c:pt idx="2577">
                  <c:v>85751.520000000164</c:v>
                </c:pt>
                <c:pt idx="2578">
                  <c:v>85788.12000000017</c:v>
                </c:pt>
                <c:pt idx="2579">
                  <c:v>85815.720000000176</c:v>
                </c:pt>
                <c:pt idx="2580">
                  <c:v>85839.720000000176</c:v>
                </c:pt>
                <c:pt idx="2581">
                  <c:v>85866.60000000018</c:v>
                </c:pt>
                <c:pt idx="2582">
                  <c:v>85892.040000000183</c:v>
                </c:pt>
                <c:pt idx="2583">
                  <c:v>85913.880000000179</c:v>
                </c:pt>
                <c:pt idx="2584">
                  <c:v>85929.60000000018</c:v>
                </c:pt>
                <c:pt idx="2585">
                  <c:v>85943.520000000179</c:v>
                </c:pt>
                <c:pt idx="2586">
                  <c:v>85957.800000000178</c:v>
                </c:pt>
                <c:pt idx="2587">
                  <c:v>85974.24000000018</c:v>
                </c:pt>
                <c:pt idx="2588">
                  <c:v>85989.960000000181</c:v>
                </c:pt>
                <c:pt idx="2589">
                  <c:v>86004.60000000018</c:v>
                </c:pt>
                <c:pt idx="2590">
                  <c:v>86018.880000000179</c:v>
                </c:pt>
                <c:pt idx="2591">
                  <c:v>86027.400000000183</c:v>
                </c:pt>
                <c:pt idx="2592">
                  <c:v>86033.400000000183</c:v>
                </c:pt>
                <c:pt idx="2593">
                  <c:v>86039.400000000183</c:v>
                </c:pt>
                <c:pt idx="2594">
                  <c:v>86045.400000000183</c:v>
                </c:pt>
                <c:pt idx="2595">
                  <c:v>86051.400000000183</c:v>
                </c:pt>
                <c:pt idx="2596">
                  <c:v>86062.440000000177</c:v>
                </c:pt>
                <c:pt idx="2597">
                  <c:v>86070.960000000181</c:v>
                </c:pt>
                <c:pt idx="2598">
                  <c:v>86076.960000000181</c:v>
                </c:pt>
                <c:pt idx="2599">
                  <c:v>86085.840000000186</c:v>
                </c:pt>
                <c:pt idx="2600">
                  <c:v>86094.72000000019</c:v>
                </c:pt>
                <c:pt idx="2601">
                  <c:v>86100.72000000019</c:v>
                </c:pt>
                <c:pt idx="2602">
                  <c:v>86106.72000000019</c:v>
                </c:pt>
                <c:pt idx="2603">
                  <c:v>86112.72000000019</c:v>
                </c:pt>
                <c:pt idx="2604">
                  <c:v>86122.680000000197</c:v>
                </c:pt>
                <c:pt idx="2605">
                  <c:v>86130.4800000002</c:v>
                </c:pt>
                <c:pt idx="2606">
                  <c:v>86136.4800000002</c:v>
                </c:pt>
                <c:pt idx="2607">
                  <c:v>86148.600000000195</c:v>
                </c:pt>
                <c:pt idx="2608">
                  <c:v>86155.680000000197</c:v>
                </c:pt>
                <c:pt idx="2609">
                  <c:v>86169.600000000195</c:v>
                </c:pt>
                <c:pt idx="2610">
                  <c:v>86192.880000000194</c:v>
                </c:pt>
                <c:pt idx="2611">
                  <c:v>86223.36000000019</c:v>
                </c:pt>
                <c:pt idx="2612">
                  <c:v>86249.880000000194</c:v>
                </c:pt>
                <c:pt idx="2613">
                  <c:v>86265.240000000194</c:v>
                </c:pt>
                <c:pt idx="2614">
                  <c:v>86271.240000000194</c:v>
                </c:pt>
                <c:pt idx="2615">
                  <c:v>86279.400000000198</c:v>
                </c:pt>
                <c:pt idx="2616">
                  <c:v>86285.400000000198</c:v>
                </c:pt>
                <c:pt idx="2617">
                  <c:v>86291.400000000198</c:v>
                </c:pt>
                <c:pt idx="2618">
                  <c:v>86297.400000000198</c:v>
                </c:pt>
                <c:pt idx="2619">
                  <c:v>86303.400000000198</c:v>
                </c:pt>
                <c:pt idx="2620">
                  <c:v>86309.400000000198</c:v>
                </c:pt>
                <c:pt idx="2621">
                  <c:v>86315.400000000198</c:v>
                </c:pt>
                <c:pt idx="2622">
                  <c:v>86321.400000000198</c:v>
                </c:pt>
                <c:pt idx="2623">
                  <c:v>86327.400000000198</c:v>
                </c:pt>
                <c:pt idx="2624">
                  <c:v>86333.400000000198</c:v>
                </c:pt>
                <c:pt idx="2625">
                  <c:v>86339.400000000198</c:v>
                </c:pt>
                <c:pt idx="2626">
                  <c:v>86345.400000000198</c:v>
                </c:pt>
                <c:pt idx="2627">
                  <c:v>86354.640000000203</c:v>
                </c:pt>
                <c:pt idx="2628">
                  <c:v>86360.640000000203</c:v>
                </c:pt>
                <c:pt idx="2629">
                  <c:v>86366.640000000203</c:v>
                </c:pt>
                <c:pt idx="2630">
                  <c:v>86372.640000000203</c:v>
                </c:pt>
                <c:pt idx="2631">
                  <c:v>86378.640000000203</c:v>
                </c:pt>
                <c:pt idx="2632">
                  <c:v>86384.640000000203</c:v>
                </c:pt>
                <c:pt idx="2633">
                  <c:v>86390.640000000203</c:v>
                </c:pt>
                <c:pt idx="2634">
                  <c:v>86396.640000000203</c:v>
                </c:pt>
                <c:pt idx="2635">
                  <c:v>86402.640000000203</c:v>
                </c:pt>
                <c:pt idx="2636">
                  <c:v>86408.640000000203</c:v>
                </c:pt>
                <c:pt idx="2637">
                  <c:v>86414.640000000203</c:v>
                </c:pt>
                <c:pt idx="2638">
                  <c:v>86420.640000000203</c:v>
                </c:pt>
                <c:pt idx="2639">
                  <c:v>86426.640000000203</c:v>
                </c:pt>
                <c:pt idx="2640">
                  <c:v>86432.640000000203</c:v>
                </c:pt>
                <c:pt idx="2641">
                  <c:v>86438.640000000203</c:v>
                </c:pt>
                <c:pt idx="2642">
                  <c:v>86444.640000000203</c:v>
                </c:pt>
                <c:pt idx="2643">
                  <c:v>86450.640000000203</c:v>
                </c:pt>
                <c:pt idx="2644">
                  <c:v>86456.640000000203</c:v>
                </c:pt>
                <c:pt idx="2645">
                  <c:v>86462.640000000203</c:v>
                </c:pt>
                <c:pt idx="2646">
                  <c:v>86468.640000000203</c:v>
                </c:pt>
                <c:pt idx="2647">
                  <c:v>86474.640000000203</c:v>
                </c:pt>
                <c:pt idx="2648">
                  <c:v>86480.640000000203</c:v>
                </c:pt>
                <c:pt idx="2649">
                  <c:v>86486.640000000203</c:v>
                </c:pt>
                <c:pt idx="2650">
                  <c:v>86492.640000000203</c:v>
                </c:pt>
                <c:pt idx="2651">
                  <c:v>86498.640000000203</c:v>
                </c:pt>
                <c:pt idx="2652">
                  <c:v>86504.640000000203</c:v>
                </c:pt>
                <c:pt idx="2653">
                  <c:v>86510.640000000203</c:v>
                </c:pt>
                <c:pt idx="2654">
                  <c:v>86516.640000000203</c:v>
                </c:pt>
                <c:pt idx="2655">
                  <c:v>86522.640000000203</c:v>
                </c:pt>
                <c:pt idx="2656">
                  <c:v>86528.640000000203</c:v>
                </c:pt>
                <c:pt idx="2657">
                  <c:v>86534.640000000203</c:v>
                </c:pt>
                <c:pt idx="2658">
                  <c:v>86540.640000000203</c:v>
                </c:pt>
                <c:pt idx="2659">
                  <c:v>86546.640000000203</c:v>
                </c:pt>
                <c:pt idx="2660">
                  <c:v>86552.640000000203</c:v>
                </c:pt>
                <c:pt idx="2661">
                  <c:v>86558.640000000203</c:v>
                </c:pt>
                <c:pt idx="2662">
                  <c:v>86564.640000000203</c:v>
                </c:pt>
                <c:pt idx="2663">
                  <c:v>86570.640000000203</c:v>
                </c:pt>
                <c:pt idx="2664">
                  <c:v>86576.640000000203</c:v>
                </c:pt>
                <c:pt idx="2665">
                  <c:v>86582.640000000203</c:v>
                </c:pt>
                <c:pt idx="2666">
                  <c:v>86588.640000000203</c:v>
                </c:pt>
                <c:pt idx="2667">
                  <c:v>86594.640000000203</c:v>
                </c:pt>
                <c:pt idx="2668">
                  <c:v>86600.640000000203</c:v>
                </c:pt>
                <c:pt idx="2669">
                  <c:v>86606.640000000203</c:v>
                </c:pt>
                <c:pt idx="2670">
                  <c:v>86612.640000000203</c:v>
                </c:pt>
                <c:pt idx="2671">
                  <c:v>86618.640000000203</c:v>
                </c:pt>
                <c:pt idx="2672">
                  <c:v>86624.640000000203</c:v>
                </c:pt>
              </c:numCache>
            </c:numRef>
          </c:yVal>
        </c:ser>
        <c:axId val="152698240"/>
        <c:axId val="152908928"/>
      </c:scatterChart>
      <c:valAx>
        <c:axId val="152698240"/>
        <c:scaling>
          <c:orientation val="minMax"/>
        </c:scaling>
        <c:axPos val="b"/>
        <c:numFmt formatCode="dd/mm/yyyy" sourceLinked="1"/>
        <c:tickLblPos val="nextTo"/>
        <c:crossAx val="152908928"/>
        <c:crosses val="autoZero"/>
        <c:crossBetween val="midCat"/>
      </c:valAx>
      <c:valAx>
        <c:axId val="152908928"/>
        <c:scaling>
          <c:orientation val="minMax"/>
        </c:scaling>
        <c:axPos val="l"/>
        <c:majorGridlines/>
        <c:numFmt formatCode="General" sourceLinked="1"/>
        <c:tickLblPos val="nextTo"/>
        <c:crossAx val="152698240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'ds výsledky'!$A$3:$A$59</c:f>
              <c:numCache>
                <c:formatCode>[$-405]mmm\-yy;@</c:formatCode>
                <c:ptCount val="57"/>
                <c:pt idx="0">
                  <c:v>42095</c:v>
                </c:pt>
                <c:pt idx="1">
                  <c:v>42125</c:v>
                </c:pt>
                <c:pt idx="2">
                  <c:v>42156</c:v>
                </c:pt>
                <c:pt idx="3">
                  <c:v>42186</c:v>
                </c:pt>
                <c:pt idx="4">
                  <c:v>42217</c:v>
                </c:pt>
                <c:pt idx="5">
                  <c:v>42248</c:v>
                </c:pt>
                <c:pt idx="6">
                  <c:v>42278</c:v>
                </c:pt>
                <c:pt idx="7">
                  <c:v>42309</c:v>
                </c:pt>
                <c:pt idx="8">
                  <c:v>42339</c:v>
                </c:pt>
                <c:pt idx="9">
                  <c:v>42370</c:v>
                </c:pt>
                <c:pt idx="10">
                  <c:v>42401</c:v>
                </c:pt>
                <c:pt idx="11">
                  <c:v>42430</c:v>
                </c:pt>
                <c:pt idx="12">
                  <c:v>42461</c:v>
                </c:pt>
                <c:pt idx="13">
                  <c:v>42491</c:v>
                </c:pt>
                <c:pt idx="14">
                  <c:v>42522</c:v>
                </c:pt>
                <c:pt idx="15">
                  <c:v>42552</c:v>
                </c:pt>
                <c:pt idx="16">
                  <c:v>42583</c:v>
                </c:pt>
                <c:pt idx="17">
                  <c:v>42614</c:v>
                </c:pt>
                <c:pt idx="18">
                  <c:v>42644</c:v>
                </c:pt>
                <c:pt idx="19">
                  <c:v>42675</c:v>
                </c:pt>
                <c:pt idx="20">
                  <c:v>42705</c:v>
                </c:pt>
                <c:pt idx="21">
                  <c:v>42736</c:v>
                </c:pt>
                <c:pt idx="22">
                  <c:v>42767</c:v>
                </c:pt>
                <c:pt idx="23">
                  <c:v>42795</c:v>
                </c:pt>
                <c:pt idx="24">
                  <c:v>42826</c:v>
                </c:pt>
                <c:pt idx="25">
                  <c:v>42856</c:v>
                </c:pt>
                <c:pt idx="26">
                  <c:v>42887</c:v>
                </c:pt>
                <c:pt idx="27">
                  <c:v>42917</c:v>
                </c:pt>
                <c:pt idx="28">
                  <c:v>42948</c:v>
                </c:pt>
                <c:pt idx="29">
                  <c:v>42979</c:v>
                </c:pt>
                <c:pt idx="30">
                  <c:v>43009</c:v>
                </c:pt>
                <c:pt idx="31">
                  <c:v>43040</c:v>
                </c:pt>
                <c:pt idx="32">
                  <c:v>43070</c:v>
                </c:pt>
                <c:pt idx="33">
                  <c:v>43101</c:v>
                </c:pt>
                <c:pt idx="34">
                  <c:v>43132</c:v>
                </c:pt>
                <c:pt idx="35">
                  <c:v>43160</c:v>
                </c:pt>
                <c:pt idx="36">
                  <c:v>43191</c:v>
                </c:pt>
                <c:pt idx="37">
                  <c:v>43221</c:v>
                </c:pt>
                <c:pt idx="38">
                  <c:v>43252</c:v>
                </c:pt>
                <c:pt idx="39">
                  <c:v>43282</c:v>
                </c:pt>
                <c:pt idx="40">
                  <c:v>43313</c:v>
                </c:pt>
                <c:pt idx="41">
                  <c:v>43344</c:v>
                </c:pt>
                <c:pt idx="42">
                  <c:v>43374</c:v>
                </c:pt>
                <c:pt idx="43">
                  <c:v>43405</c:v>
                </c:pt>
                <c:pt idx="44">
                  <c:v>43435</c:v>
                </c:pt>
                <c:pt idx="45">
                  <c:v>43466</c:v>
                </c:pt>
                <c:pt idx="46">
                  <c:v>43497</c:v>
                </c:pt>
                <c:pt idx="47">
                  <c:v>43525</c:v>
                </c:pt>
                <c:pt idx="48">
                  <c:v>43556</c:v>
                </c:pt>
                <c:pt idx="49">
                  <c:v>43586</c:v>
                </c:pt>
                <c:pt idx="50">
                  <c:v>43617</c:v>
                </c:pt>
                <c:pt idx="51">
                  <c:v>43647</c:v>
                </c:pt>
                <c:pt idx="52">
                  <c:v>43678</c:v>
                </c:pt>
                <c:pt idx="53">
                  <c:v>43709</c:v>
                </c:pt>
                <c:pt idx="54">
                  <c:v>43739</c:v>
                </c:pt>
                <c:pt idx="55">
                  <c:v>43770</c:v>
                </c:pt>
                <c:pt idx="56">
                  <c:v>43800</c:v>
                </c:pt>
              </c:numCache>
            </c:numRef>
          </c:xVal>
          <c:yVal>
            <c:numRef>
              <c:f>'ds výsledky'!$B$3:$B$59</c:f>
              <c:numCache>
                <c:formatCode>General</c:formatCode>
                <c:ptCount val="57"/>
                <c:pt idx="0">
                  <c:v>9.2499999999999982</c:v>
                </c:pt>
                <c:pt idx="1">
                  <c:v>13.748387096774204</c:v>
                </c:pt>
                <c:pt idx="2">
                  <c:v>17.11</c:v>
                </c:pt>
                <c:pt idx="3">
                  <c:v>21.29032258064516</c:v>
                </c:pt>
                <c:pt idx="4">
                  <c:v>22.480645161290347</c:v>
                </c:pt>
                <c:pt idx="5">
                  <c:v>14.083333333333348</c:v>
                </c:pt>
                <c:pt idx="6">
                  <c:v>8.6580645161290359</c:v>
                </c:pt>
                <c:pt idx="7">
                  <c:v>6.8866666666666028</c:v>
                </c:pt>
                <c:pt idx="8">
                  <c:v>4.9032258064516272</c:v>
                </c:pt>
                <c:pt idx="9">
                  <c:v>-0.25483870967740763</c:v>
                </c:pt>
                <c:pt idx="10">
                  <c:v>3.4034482758620785</c:v>
                </c:pt>
                <c:pt idx="11">
                  <c:v>4.4032258064515979</c:v>
                </c:pt>
                <c:pt idx="12">
                  <c:v>9.0266666666666584</c:v>
                </c:pt>
                <c:pt idx="13">
                  <c:v>14.625806451612892</c:v>
                </c:pt>
                <c:pt idx="14">
                  <c:v>18.486666666666618</c:v>
                </c:pt>
                <c:pt idx="15">
                  <c:v>19.922580645161272</c:v>
                </c:pt>
                <c:pt idx="16">
                  <c:v>18.554838709677444</c:v>
                </c:pt>
                <c:pt idx="17">
                  <c:v>17.559999999999945</c:v>
                </c:pt>
                <c:pt idx="18">
                  <c:v>8.4258064516128393</c:v>
                </c:pt>
                <c:pt idx="19">
                  <c:v>3.2900000000000245</c:v>
                </c:pt>
                <c:pt idx="20">
                  <c:v>0.53548387096778305</c:v>
                </c:pt>
                <c:pt idx="21">
                  <c:v>-4.5935483870967921</c:v>
                </c:pt>
                <c:pt idx="22">
                  <c:v>2.2964285714285455</c:v>
                </c:pt>
                <c:pt idx="23">
                  <c:v>7.5483870967742233</c:v>
                </c:pt>
                <c:pt idx="24">
                  <c:v>8.0766666666666733</c:v>
                </c:pt>
                <c:pt idx="25">
                  <c:v>15.090322580645168</c:v>
                </c:pt>
                <c:pt idx="26">
                  <c:v>19.273333333333298</c:v>
                </c:pt>
                <c:pt idx="27">
                  <c:v>20.083870967741888</c:v>
                </c:pt>
                <c:pt idx="28">
                  <c:v>19.338709677419356</c:v>
                </c:pt>
                <c:pt idx="29">
                  <c:v>13.006666666666872</c:v>
                </c:pt>
                <c:pt idx="30">
                  <c:v>10.809677419354909</c:v>
                </c:pt>
                <c:pt idx="31">
                  <c:v>4.6066666666667517</c:v>
                </c:pt>
                <c:pt idx="32">
                  <c:v>2.2806451612904635</c:v>
                </c:pt>
                <c:pt idx="33">
                  <c:v>3.2483870967741582</c:v>
                </c:pt>
                <c:pt idx="34">
                  <c:v>-2.5500000000000518</c:v>
                </c:pt>
                <c:pt idx="35">
                  <c:v>2.3838709677420411</c:v>
                </c:pt>
                <c:pt idx="36">
                  <c:v>13.99333333333337</c:v>
                </c:pt>
                <c:pt idx="37">
                  <c:v>17.454838709677372</c:v>
                </c:pt>
                <c:pt idx="38">
                  <c:v>18.759999999999977</c:v>
                </c:pt>
                <c:pt idx="39">
                  <c:v>21.961290322580503</c:v>
                </c:pt>
                <c:pt idx="40">
                  <c:v>21.751612903225901</c:v>
                </c:pt>
                <c:pt idx="41">
                  <c:v>16.043333333333369</c:v>
                </c:pt>
                <c:pt idx="42">
                  <c:v>11.01935483870969</c:v>
                </c:pt>
                <c:pt idx="43">
                  <c:v>4.2866666666666786</c:v>
                </c:pt>
                <c:pt idx="44">
                  <c:v>3.2290322580642932</c:v>
                </c:pt>
                <c:pt idx="45">
                  <c:v>-1.2903225806557232E-2</c:v>
                </c:pt>
                <c:pt idx="46">
                  <c:v>3.067857142857195</c:v>
                </c:pt>
                <c:pt idx="47">
                  <c:v>7.361290322580551</c:v>
                </c:pt>
                <c:pt idx="48">
                  <c:v>10.860000000000097</c:v>
                </c:pt>
                <c:pt idx="49">
                  <c:v>12.29354838709661</c:v>
                </c:pt>
                <c:pt idx="50">
                  <c:v>22.053333333333526</c:v>
                </c:pt>
                <c:pt idx="51">
                  <c:v>20.22903225806435</c:v>
                </c:pt>
                <c:pt idx="52">
                  <c:v>20.332258064516104</c:v>
                </c:pt>
                <c:pt idx="53">
                  <c:v>14.676666666666522</c:v>
                </c:pt>
                <c:pt idx="54">
                  <c:v>10.209677419354721</c:v>
                </c:pt>
                <c:pt idx="55">
                  <c:v>6.1799999999999269</c:v>
                </c:pt>
                <c:pt idx="56">
                  <c:v>2.5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2255-4260-9317-BE19BEB670FA}"/>
            </c:ext>
          </c:extLst>
        </c:ser>
        <c:axId val="152957696"/>
        <c:axId val="152959232"/>
      </c:scatterChart>
      <c:valAx>
        <c:axId val="152957696"/>
        <c:scaling>
          <c:orientation val="minMax"/>
        </c:scaling>
        <c:axPos val="b"/>
        <c:numFmt formatCode="[$-405]mmm\-yy;@" sourceLinked="1"/>
        <c:tickLblPos val="nextTo"/>
        <c:crossAx val="152959232"/>
        <c:crosses val="autoZero"/>
        <c:crossBetween val="midCat"/>
        <c:majorUnit val="91"/>
      </c:valAx>
      <c:valAx>
        <c:axId val="152959232"/>
        <c:scaling>
          <c:orientation val="minMax"/>
        </c:scaling>
        <c:axPos val="l"/>
        <c:majorGridlines/>
        <c:numFmt formatCode="General" sourceLinked="1"/>
        <c:tickLblPos val="nextTo"/>
        <c:crossAx val="152957696"/>
        <c:crosses val="autoZero"/>
        <c:crossBetween val="midCat"/>
      </c:valAx>
    </c:plotArea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'do 3 kW'!$J$6</c:f>
              <c:strCache>
                <c:ptCount val="1"/>
                <c:pt idx="0">
                  <c:v>z 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'do 3 kW'!$C$7:$C$20</c:f>
              <c:numCache>
                <c:formatCode>dd/mm/yyyy</c:formatCode>
                <c:ptCount val="14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</c:numCache>
            </c:numRef>
          </c:xVal>
          <c:yVal>
            <c:numRef>
              <c:f>'do 3 kW'!$J$7:$J$20</c:f>
              <c:numCache>
                <c:formatCode>General</c:formatCode>
                <c:ptCount val="14"/>
                <c:pt idx="0">
                  <c:v>0</c:v>
                </c:pt>
                <c:pt idx="1">
                  <c:v>0.38375000000000398</c:v>
                </c:pt>
                <c:pt idx="2">
                  <c:v>0.86013888888889289</c:v>
                </c:pt>
                <c:pt idx="3">
                  <c:v>0.99047043010753033</c:v>
                </c:pt>
                <c:pt idx="4">
                  <c:v>1.2291801075268796</c:v>
                </c:pt>
                <c:pt idx="5">
                  <c:v>1.275714285714284</c:v>
                </c:pt>
                <c:pt idx="6">
                  <c:v>0.85041666666667148</c:v>
                </c:pt>
                <c:pt idx="7">
                  <c:v>0.69486111111111271</c:v>
                </c:pt>
                <c:pt idx="8">
                  <c:v>0.25202956989247588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0.43333333333333329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137B-49A9-A2F4-801D429AD6F6}"/>
            </c:ext>
          </c:extLst>
        </c:ser>
        <c:ser>
          <c:idx val="1"/>
          <c:order val="1"/>
          <c:tx>
            <c:strRef>
              <c:f>'do 3 kW'!$K$6</c:f>
              <c:strCache>
                <c:ptCount val="1"/>
                <c:pt idx="0">
                  <c:v>bez ost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'do 3 kW'!$C$7:$C$20</c:f>
              <c:numCache>
                <c:formatCode>dd/mm/yyyy</c:formatCode>
                <c:ptCount val="14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</c:numCache>
            </c:numRef>
          </c:xVal>
          <c:yVal>
            <c:numRef>
              <c:f>'do 3 kW'!$K$7:$K$20</c:f>
              <c:numCache>
                <c:formatCode>General</c:formatCode>
                <c:ptCount val="14"/>
                <c:pt idx="0">
                  <c:v>-1.9444444444444375E-2</c:v>
                </c:pt>
                <c:pt idx="1">
                  <c:v>0.28306451612903238</c:v>
                </c:pt>
                <c:pt idx="2">
                  <c:v>0.79861111111111127</c:v>
                </c:pt>
                <c:pt idx="3">
                  <c:v>1.1567204301075269</c:v>
                </c:pt>
                <c:pt idx="4">
                  <c:v>1.2373655913978494</c:v>
                </c:pt>
                <c:pt idx="5">
                  <c:v>1.3136904761904762</c:v>
                </c:pt>
                <c:pt idx="6">
                  <c:v>0.84892473118279577</c:v>
                </c:pt>
                <c:pt idx="7">
                  <c:v>0.4819444444444444</c:v>
                </c:pt>
                <c:pt idx="8">
                  <c:v>9.3548387096774155E-2</c:v>
                </c:pt>
                <c:pt idx="9">
                  <c:v>0.11388888888888893</c:v>
                </c:pt>
                <c:pt idx="10">
                  <c:v>-1.6666666666666607E-2</c:v>
                </c:pt>
                <c:pt idx="11">
                  <c:v>3.0376344086021523E-2</c:v>
                </c:pt>
                <c:pt idx="12">
                  <c:v>-3.3333333333333326E-2</c:v>
                </c:pt>
                <c:pt idx="13">
                  <c:v>0.17553763440860215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137B-49A9-A2F4-801D429AD6F6}"/>
            </c:ext>
          </c:extLst>
        </c:ser>
        <c:ser>
          <c:idx val="2"/>
          <c:order val="2"/>
          <c:tx>
            <c:strRef>
              <c:f>'do 3 kW'!$L$6</c:f>
              <c:strCache>
                <c:ptCount val="1"/>
                <c:pt idx="0">
                  <c:v>FVE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'do 3 kW'!$C$7:$C$20</c:f>
              <c:numCache>
                <c:formatCode>dd/mm/yyyy</c:formatCode>
                <c:ptCount val="14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  <c:pt idx="12">
                  <c:v>44470</c:v>
                </c:pt>
                <c:pt idx="13">
                  <c:v>44501</c:v>
                </c:pt>
              </c:numCache>
            </c:numRef>
          </c:xVal>
          <c:yVal>
            <c:numRef>
              <c:f>'do 3 kW'!$L$7:$L$20</c:f>
              <c:numCache>
                <c:formatCode>General</c:formatCode>
                <c:ptCount val="14"/>
                <c:pt idx="0">
                  <c:v>0.18472222222222223</c:v>
                </c:pt>
                <c:pt idx="1">
                  <c:v>0.16801075268817203</c:v>
                </c:pt>
                <c:pt idx="2">
                  <c:v>0.125</c:v>
                </c:pt>
                <c:pt idx="3">
                  <c:v>0.1196236559139785</c:v>
                </c:pt>
                <c:pt idx="4">
                  <c:v>0.10215053763440861</c:v>
                </c:pt>
                <c:pt idx="5">
                  <c:v>0.18601190476190477</c:v>
                </c:pt>
                <c:pt idx="6">
                  <c:v>0.30645161290322581</c:v>
                </c:pt>
                <c:pt idx="7">
                  <c:v>0.29305555555555557</c:v>
                </c:pt>
                <c:pt idx="8">
                  <c:v>0.25940860215053763</c:v>
                </c:pt>
                <c:pt idx="9">
                  <c:v>0.31666666666666665</c:v>
                </c:pt>
                <c:pt idx="10">
                  <c:v>0.2661290322580645</c:v>
                </c:pt>
                <c:pt idx="11">
                  <c:v>0.24059139784946237</c:v>
                </c:pt>
                <c:pt idx="12">
                  <c:v>0.1763888888888889</c:v>
                </c:pt>
                <c:pt idx="13">
                  <c:v>0.20026881720430109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137B-49A9-A2F4-801D429AD6F6}"/>
            </c:ext>
          </c:extLst>
        </c:ser>
        <c:axId val="152821760"/>
        <c:axId val="152823680"/>
      </c:scatterChart>
      <c:valAx>
        <c:axId val="152821760"/>
        <c:scaling>
          <c:orientation val="minMax"/>
        </c:scaling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dd/mm/yyyy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823680"/>
        <c:crosses val="autoZero"/>
        <c:crossBetween val="midCat"/>
      </c:valAx>
      <c:valAx>
        <c:axId val="152823680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2821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spis!$O$26</c:f>
              <c:strCache>
                <c:ptCount val="1"/>
              </c:strCache>
            </c:strRef>
          </c:tx>
          <c:xVal>
            <c:numRef>
              <c:f>spis!$J$27:$J$38</c:f>
              <c:numCache>
                <c:formatCode>dd/mmm</c:formatCode>
                <c:ptCount val="12"/>
                <c:pt idx="0">
                  <c:v>44211</c:v>
                </c:pt>
                <c:pt idx="1">
                  <c:v>44242</c:v>
                </c:pt>
                <c:pt idx="2">
                  <c:v>44270</c:v>
                </c:pt>
                <c:pt idx="3">
                  <c:v>44301</c:v>
                </c:pt>
                <c:pt idx="4">
                  <c:v>44331</c:v>
                </c:pt>
                <c:pt idx="5">
                  <c:v>44362</c:v>
                </c:pt>
                <c:pt idx="6">
                  <c:v>44392</c:v>
                </c:pt>
                <c:pt idx="7">
                  <c:v>44423</c:v>
                </c:pt>
                <c:pt idx="8">
                  <c:v>44454</c:v>
                </c:pt>
                <c:pt idx="9">
                  <c:v>44484</c:v>
                </c:pt>
                <c:pt idx="10">
                  <c:v>44515</c:v>
                </c:pt>
                <c:pt idx="11">
                  <c:v>44545</c:v>
                </c:pt>
              </c:numCache>
            </c:numRef>
          </c:xVal>
          <c:yVal>
            <c:numRef>
              <c:f>spis!$O$27:$O$38</c:f>
              <c:numCache>
                <c:formatCode>General</c:formatCode>
                <c:ptCount val="12"/>
                <c:pt idx="0">
                  <c:v>20.683990442054959</c:v>
                </c:pt>
                <c:pt idx="1">
                  <c:v>35.672949735449734</c:v>
                </c:pt>
                <c:pt idx="2">
                  <c:v>39.314516129032256</c:v>
                </c:pt>
                <c:pt idx="3">
                  <c:v>52.932098765432094</c:v>
                </c:pt>
                <c:pt idx="4">
                  <c:v>60.483870967741929</c:v>
                </c:pt>
                <c:pt idx="5">
                  <c:v>69.791666666666671</c:v>
                </c:pt>
                <c:pt idx="6">
                  <c:v>62.910692951015534</c:v>
                </c:pt>
                <c:pt idx="7">
                  <c:v>48.797789725209071</c:v>
                </c:pt>
                <c:pt idx="8">
                  <c:v>37.731481481481474</c:v>
                </c:pt>
                <c:pt idx="9">
                  <c:v>23.372162485065711</c:v>
                </c:pt>
                <c:pt idx="10">
                  <c:v>15.4320987654321</c:v>
                </c:pt>
                <c:pt idx="11">
                  <c:v>12.992831541218637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69D4-4504-9602-30AC55E00E59}"/>
            </c:ext>
          </c:extLst>
        </c:ser>
        <c:ser>
          <c:idx val="1"/>
          <c:order val="1"/>
          <c:tx>
            <c:strRef>
              <c:f>spis!$P$26</c:f>
              <c:strCache>
                <c:ptCount val="1"/>
              </c:strCache>
            </c:strRef>
          </c:tx>
          <c:xVal>
            <c:numRef>
              <c:f>spis!$J$27:$J$38</c:f>
              <c:numCache>
                <c:formatCode>dd/mmm</c:formatCode>
                <c:ptCount val="12"/>
                <c:pt idx="0">
                  <c:v>44211</c:v>
                </c:pt>
                <c:pt idx="1">
                  <c:v>44242</c:v>
                </c:pt>
                <c:pt idx="2">
                  <c:v>44270</c:v>
                </c:pt>
                <c:pt idx="3">
                  <c:v>44301</c:v>
                </c:pt>
                <c:pt idx="4">
                  <c:v>44331</c:v>
                </c:pt>
                <c:pt idx="5">
                  <c:v>44362</c:v>
                </c:pt>
                <c:pt idx="6">
                  <c:v>44392</c:v>
                </c:pt>
                <c:pt idx="7">
                  <c:v>44423</c:v>
                </c:pt>
                <c:pt idx="8">
                  <c:v>44454</c:v>
                </c:pt>
                <c:pt idx="9">
                  <c:v>44484</c:v>
                </c:pt>
                <c:pt idx="10">
                  <c:v>44515</c:v>
                </c:pt>
                <c:pt idx="11">
                  <c:v>44545</c:v>
                </c:pt>
              </c:numCache>
            </c:numRef>
          </c:xVal>
          <c:yVal>
            <c:numRef>
              <c:f>spis!$P$27:$P$38</c:f>
              <c:numCache>
                <c:formatCode>General</c:formatCode>
                <c:ptCount val="12"/>
                <c:pt idx="0">
                  <c:v>72.244623655913969</c:v>
                </c:pt>
                <c:pt idx="1">
                  <c:v>116.85681216931216</c:v>
                </c:pt>
                <c:pt idx="2">
                  <c:v>122.53584229390681</c:v>
                </c:pt>
                <c:pt idx="3">
                  <c:v>127.00617283950616</c:v>
                </c:pt>
                <c:pt idx="4">
                  <c:v>110.88709677419355</c:v>
                </c:pt>
                <c:pt idx="5">
                  <c:v>109.02777777777777</c:v>
                </c:pt>
                <c:pt idx="6">
                  <c:v>105.54808841099164</c:v>
                </c:pt>
                <c:pt idx="7">
                  <c:v>100.84378733572282</c:v>
                </c:pt>
                <c:pt idx="8">
                  <c:v>114.50617283950616</c:v>
                </c:pt>
                <c:pt idx="9">
                  <c:v>92.779271206690566</c:v>
                </c:pt>
                <c:pt idx="10">
                  <c:v>67.51543209876543</c:v>
                </c:pt>
                <c:pt idx="11">
                  <c:v>59.849163679808839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69D4-4504-9602-30AC55E00E59}"/>
            </c:ext>
          </c:extLst>
        </c:ser>
        <c:ser>
          <c:idx val="2"/>
          <c:order val="2"/>
          <c:tx>
            <c:strRef>
              <c:f>spis!$Q$26</c:f>
              <c:strCache>
                <c:ptCount val="1"/>
              </c:strCache>
            </c:strRef>
          </c:tx>
          <c:xVal>
            <c:numRef>
              <c:f>spis!$J$27:$J$38</c:f>
              <c:numCache>
                <c:formatCode>dd/mmm</c:formatCode>
                <c:ptCount val="12"/>
                <c:pt idx="0">
                  <c:v>44211</c:v>
                </c:pt>
                <c:pt idx="1">
                  <c:v>44242</c:v>
                </c:pt>
                <c:pt idx="2">
                  <c:v>44270</c:v>
                </c:pt>
                <c:pt idx="3">
                  <c:v>44301</c:v>
                </c:pt>
                <c:pt idx="4">
                  <c:v>44331</c:v>
                </c:pt>
                <c:pt idx="5">
                  <c:v>44362</c:v>
                </c:pt>
                <c:pt idx="6">
                  <c:v>44392</c:v>
                </c:pt>
                <c:pt idx="7">
                  <c:v>44423</c:v>
                </c:pt>
                <c:pt idx="8">
                  <c:v>44454</c:v>
                </c:pt>
                <c:pt idx="9">
                  <c:v>44484</c:v>
                </c:pt>
                <c:pt idx="10">
                  <c:v>44515</c:v>
                </c:pt>
                <c:pt idx="11">
                  <c:v>44545</c:v>
                </c:pt>
              </c:numCache>
            </c:numRef>
          </c:xVal>
          <c:yVal>
            <c:numRef>
              <c:f>spis!$Q$27:$Q$38</c:f>
              <c:numCache>
                <c:formatCode>General</c:formatCode>
                <c:ptCount val="12"/>
                <c:pt idx="0">
                  <c:v>31.996714456391874</c:v>
                </c:pt>
                <c:pt idx="1">
                  <c:v>60.722552910052912</c:v>
                </c:pt>
                <c:pt idx="2">
                  <c:v>77.434289127837516</c:v>
                </c:pt>
                <c:pt idx="3">
                  <c:v>104.05092592592592</c:v>
                </c:pt>
                <c:pt idx="4">
                  <c:v>112.9032258064516</c:v>
                </c:pt>
                <c:pt idx="5">
                  <c:v>119.94598765432097</c:v>
                </c:pt>
                <c:pt idx="6">
                  <c:v>111.63381123058542</c:v>
                </c:pt>
                <c:pt idx="7">
                  <c:v>92.704599761051369</c:v>
                </c:pt>
                <c:pt idx="8">
                  <c:v>80.825617283950621</c:v>
                </c:pt>
                <c:pt idx="9">
                  <c:v>49.096475507765824</c:v>
                </c:pt>
                <c:pt idx="10">
                  <c:v>27.083333333333332</c:v>
                </c:pt>
                <c:pt idx="11">
                  <c:v>21.729390681003583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69D4-4504-9602-30AC55E00E59}"/>
            </c:ext>
          </c:extLst>
        </c:ser>
        <c:ser>
          <c:idx val="3"/>
          <c:order val="3"/>
          <c:tx>
            <c:strRef>
              <c:f>spis!$R$26</c:f>
              <c:strCache>
                <c:ptCount val="1"/>
              </c:strCache>
            </c:strRef>
          </c:tx>
          <c:xVal>
            <c:numRef>
              <c:f>spis!$J$27:$J$38</c:f>
              <c:numCache>
                <c:formatCode>dd/mmm</c:formatCode>
                <c:ptCount val="12"/>
                <c:pt idx="0">
                  <c:v>44211</c:v>
                </c:pt>
                <c:pt idx="1">
                  <c:v>44242</c:v>
                </c:pt>
                <c:pt idx="2">
                  <c:v>44270</c:v>
                </c:pt>
                <c:pt idx="3">
                  <c:v>44301</c:v>
                </c:pt>
                <c:pt idx="4">
                  <c:v>44331</c:v>
                </c:pt>
                <c:pt idx="5">
                  <c:v>44362</c:v>
                </c:pt>
                <c:pt idx="6">
                  <c:v>44392</c:v>
                </c:pt>
                <c:pt idx="7">
                  <c:v>44423</c:v>
                </c:pt>
                <c:pt idx="8">
                  <c:v>44454</c:v>
                </c:pt>
                <c:pt idx="9">
                  <c:v>44484</c:v>
                </c:pt>
                <c:pt idx="10">
                  <c:v>44515</c:v>
                </c:pt>
                <c:pt idx="11">
                  <c:v>44545</c:v>
                </c:pt>
              </c:numCache>
            </c:numRef>
          </c:xVal>
          <c:yVal>
            <c:numRef>
              <c:f>spis!$R$27:$R$38</c:f>
              <c:numCache>
                <c:formatCode>General</c:formatCode>
                <c:ptCount val="12"/>
                <c:pt idx="0">
                  <c:v>31.996714456391874</c:v>
                </c:pt>
                <c:pt idx="1">
                  <c:v>60.722552910052912</c:v>
                </c:pt>
                <c:pt idx="2">
                  <c:v>77.434289127837516</c:v>
                </c:pt>
                <c:pt idx="3">
                  <c:v>104.05092592592592</c:v>
                </c:pt>
                <c:pt idx="4">
                  <c:v>112.9032258064516</c:v>
                </c:pt>
                <c:pt idx="5">
                  <c:v>119.94598765432097</c:v>
                </c:pt>
                <c:pt idx="6">
                  <c:v>111.63381123058542</c:v>
                </c:pt>
                <c:pt idx="7">
                  <c:v>92.704599761051369</c:v>
                </c:pt>
                <c:pt idx="8">
                  <c:v>80.825617283950621</c:v>
                </c:pt>
                <c:pt idx="9">
                  <c:v>49.096475507765824</c:v>
                </c:pt>
                <c:pt idx="10">
                  <c:v>27.083333333333332</c:v>
                </c:pt>
                <c:pt idx="11">
                  <c:v>21.729390681003583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69D4-4504-9602-30AC55E00E59}"/>
            </c:ext>
          </c:extLst>
        </c:ser>
        <c:ser>
          <c:idx val="4"/>
          <c:order val="4"/>
          <c:tx>
            <c:strRef>
              <c:f>spis!$S$26</c:f>
              <c:strCache>
                <c:ptCount val="1"/>
              </c:strCache>
            </c:strRef>
          </c:tx>
          <c:xVal>
            <c:numRef>
              <c:f>spis!$J$27:$J$38</c:f>
              <c:numCache>
                <c:formatCode>dd/mmm</c:formatCode>
                <c:ptCount val="12"/>
                <c:pt idx="0">
                  <c:v>44211</c:v>
                </c:pt>
                <c:pt idx="1">
                  <c:v>44242</c:v>
                </c:pt>
                <c:pt idx="2">
                  <c:v>44270</c:v>
                </c:pt>
                <c:pt idx="3">
                  <c:v>44301</c:v>
                </c:pt>
                <c:pt idx="4">
                  <c:v>44331</c:v>
                </c:pt>
                <c:pt idx="5">
                  <c:v>44362</c:v>
                </c:pt>
                <c:pt idx="6">
                  <c:v>44392</c:v>
                </c:pt>
                <c:pt idx="7">
                  <c:v>44423</c:v>
                </c:pt>
                <c:pt idx="8">
                  <c:v>44454</c:v>
                </c:pt>
                <c:pt idx="9">
                  <c:v>44484</c:v>
                </c:pt>
                <c:pt idx="10">
                  <c:v>44515</c:v>
                </c:pt>
                <c:pt idx="11">
                  <c:v>44545</c:v>
                </c:pt>
              </c:numCache>
            </c:numRef>
          </c:xVal>
          <c:yVal>
            <c:numRef>
              <c:f>spis!$S$27:$S$38</c:f>
              <c:numCache>
                <c:formatCode>General</c:formatCode>
                <c:ptCount val="12"/>
                <c:pt idx="0">
                  <c:v>37.634408602150536</c:v>
                </c:pt>
                <c:pt idx="1">
                  <c:v>75.892857142857139</c:v>
                </c:pt>
                <c:pt idx="2">
                  <c:v>115.59139784946235</c:v>
                </c:pt>
                <c:pt idx="3">
                  <c:v>176.38888888888889</c:v>
                </c:pt>
                <c:pt idx="4">
                  <c:v>201.61290322580646</c:v>
                </c:pt>
                <c:pt idx="5">
                  <c:v>218.05555555555554</c:v>
                </c:pt>
                <c:pt idx="6">
                  <c:v>202.95698924731184</c:v>
                </c:pt>
                <c:pt idx="7">
                  <c:v>162.63440860215053</c:v>
                </c:pt>
                <c:pt idx="8">
                  <c:v>134.72222222222223</c:v>
                </c:pt>
                <c:pt idx="9">
                  <c:v>77.956989247311824</c:v>
                </c:pt>
                <c:pt idx="10">
                  <c:v>41.666666666666664</c:v>
                </c:pt>
                <c:pt idx="11">
                  <c:v>28.2258064516129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4-69D4-4504-9602-30AC55E00E59}"/>
            </c:ext>
          </c:extLst>
        </c:ser>
        <c:axId val="118729344"/>
        <c:axId val="118743424"/>
      </c:scatterChart>
      <c:valAx>
        <c:axId val="118729344"/>
        <c:scaling>
          <c:orientation val="minMax"/>
        </c:scaling>
        <c:axPos val="b"/>
        <c:numFmt formatCode="dd/mmm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8743424"/>
        <c:crosses val="autoZero"/>
        <c:crossBetween val="midCat"/>
      </c:valAx>
      <c:valAx>
        <c:axId val="118743424"/>
        <c:scaling>
          <c:orientation val="minMax"/>
        </c:scaling>
        <c:axPos val="l"/>
        <c:majorGridlines/>
        <c:numFmt formatCode="General" sourceLinked="1"/>
        <c:tickLblPos val="nextTo"/>
        <c:crossAx val="118729344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spis!$R$211</c:f>
              <c:strCache>
                <c:ptCount val="1"/>
                <c:pt idx="0">
                  <c:v>Q,H,nd[W]</c:v>
                </c:pt>
              </c:strCache>
            </c:strRef>
          </c:tx>
          <c:marker>
            <c:symbol val="none"/>
          </c:marker>
          <c:xVal>
            <c:numRef>
              <c:f>spis!$B$212:$B$224</c:f>
              <c:numCache>
                <c:formatCode>General</c:formatCode>
                <c:ptCount val="13"/>
                <c:pt idx="0">
                  <c:v>-4.2</c:v>
                </c:pt>
                <c:pt idx="1">
                  <c:v>-1.8</c:v>
                </c:pt>
                <c:pt idx="2">
                  <c:v>2.5</c:v>
                </c:pt>
                <c:pt idx="3">
                  <c:v>7.8</c:v>
                </c:pt>
                <c:pt idx="4">
                  <c:v>12.7</c:v>
                </c:pt>
                <c:pt idx="5">
                  <c:v>15.5</c:v>
                </c:pt>
                <c:pt idx="6">
                  <c:v>17.100000000000001</c:v>
                </c:pt>
                <c:pt idx="7">
                  <c:v>16.5</c:v>
                </c:pt>
                <c:pt idx="8">
                  <c:v>12.6</c:v>
                </c:pt>
                <c:pt idx="9">
                  <c:v>7.8</c:v>
                </c:pt>
                <c:pt idx="10">
                  <c:v>2.6</c:v>
                </c:pt>
                <c:pt idx="11">
                  <c:v>-2</c:v>
                </c:pt>
                <c:pt idx="12">
                  <c:v>-4.2</c:v>
                </c:pt>
              </c:numCache>
            </c:numRef>
          </c:xVal>
          <c:yVal>
            <c:numRef>
              <c:f>spis!$R$212:$R$224</c:f>
              <c:numCache>
                <c:formatCode>General</c:formatCode>
                <c:ptCount val="13"/>
                <c:pt idx="0">
                  <c:v>2337.216248506571</c:v>
                </c:pt>
                <c:pt idx="1">
                  <c:v>1779.9272486772486</c:v>
                </c:pt>
                <c:pt idx="2">
                  <c:v>1165.2479091995222</c:v>
                </c:pt>
                <c:pt idx="3">
                  <c:v>459.10493827160491</c:v>
                </c:pt>
                <c:pt idx="4">
                  <c:v>117.98088410991637</c:v>
                </c:pt>
                <c:pt idx="8">
                  <c:v>175.9259259259259</c:v>
                </c:pt>
                <c:pt idx="9">
                  <c:v>742.60752688172045</c:v>
                </c:pt>
                <c:pt idx="10">
                  <c:v>1526.2345679012344</c:v>
                </c:pt>
                <c:pt idx="11">
                  <c:v>2147.5507765830348</c:v>
                </c:pt>
                <c:pt idx="12">
                  <c:v>2337.216248506571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0-8D8B-4B88-B2D8-1338FB7967D6}"/>
            </c:ext>
          </c:extLst>
        </c:ser>
        <c:ser>
          <c:idx val="1"/>
          <c:order val="1"/>
          <c:tx>
            <c:strRef>
              <c:f>spis!$S$211</c:f>
              <c:strCache>
                <c:ptCount val="1"/>
                <c:pt idx="0">
                  <c:v>ekv</c:v>
                </c:pt>
              </c:strCache>
            </c:strRef>
          </c:tx>
          <c:marker>
            <c:symbol val="none"/>
          </c:marker>
          <c:xVal>
            <c:numRef>
              <c:f>spis!$B$212:$B$224</c:f>
              <c:numCache>
                <c:formatCode>General</c:formatCode>
                <c:ptCount val="13"/>
                <c:pt idx="0">
                  <c:v>-4.2</c:v>
                </c:pt>
                <c:pt idx="1">
                  <c:v>-1.8</c:v>
                </c:pt>
                <c:pt idx="2">
                  <c:v>2.5</c:v>
                </c:pt>
                <c:pt idx="3">
                  <c:v>7.8</c:v>
                </c:pt>
                <c:pt idx="4">
                  <c:v>12.7</c:v>
                </c:pt>
                <c:pt idx="5">
                  <c:v>15.5</c:v>
                </c:pt>
                <c:pt idx="6">
                  <c:v>17.100000000000001</c:v>
                </c:pt>
                <c:pt idx="7">
                  <c:v>16.5</c:v>
                </c:pt>
                <c:pt idx="8">
                  <c:v>12.6</c:v>
                </c:pt>
                <c:pt idx="9">
                  <c:v>7.8</c:v>
                </c:pt>
                <c:pt idx="10">
                  <c:v>2.6</c:v>
                </c:pt>
                <c:pt idx="11">
                  <c:v>-2</c:v>
                </c:pt>
                <c:pt idx="12">
                  <c:v>-4.2</c:v>
                </c:pt>
              </c:numCache>
            </c:numRef>
          </c:xVal>
          <c:yVal>
            <c:numRef>
              <c:f>spis!$S$212:$S$224</c:f>
              <c:numCache>
                <c:formatCode>General</c:formatCode>
                <c:ptCount val="13"/>
                <c:pt idx="0">
                  <c:v>2207.3333333333335</c:v>
                </c:pt>
                <c:pt idx="1">
                  <c:v>1899.3333333333333</c:v>
                </c:pt>
                <c:pt idx="2">
                  <c:v>1347.5</c:v>
                </c:pt>
                <c:pt idx="3">
                  <c:v>667.33333333333337</c:v>
                </c:pt>
                <c:pt idx="4">
                  <c:v>38.500000000000092</c:v>
                </c:pt>
                <c:pt idx="8">
                  <c:v>51.333333333333378</c:v>
                </c:pt>
                <c:pt idx="9">
                  <c:v>667.33333333333337</c:v>
                </c:pt>
                <c:pt idx="10">
                  <c:v>1334.6666666666667</c:v>
                </c:pt>
                <c:pt idx="11">
                  <c:v>1925</c:v>
                </c:pt>
                <c:pt idx="12">
                  <c:v>2207.3333333333335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1-8D8B-4B88-B2D8-1338FB7967D6}"/>
            </c:ext>
          </c:extLst>
        </c:ser>
        <c:ser>
          <c:idx val="2"/>
          <c:order val="2"/>
          <c:tx>
            <c:strRef>
              <c:f>spis!$T$211</c:f>
              <c:strCache>
                <c:ptCount val="1"/>
                <c:pt idx="0">
                  <c:v>Q,H,ht[W] </c:v>
                </c:pt>
              </c:strCache>
            </c:strRef>
          </c:tx>
          <c:marker>
            <c:symbol val="none"/>
          </c:marker>
          <c:xVal>
            <c:numRef>
              <c:f>spis!$B$212:$B$224</c:f>
              <c:numCache>
                <c:formatCode>General</c:formatCode>
                <c:ptCount val="13"/>
                <c:pt idx="0">
                  <c:v>-4.2</c:v>
                </c:pt>
                <c:pt idx="1">
                  <c:v>-1.8</c:v>
                </c:pt>
                <c:pt idx="2">
                  <c:v>2.5</c:v>
                </c:pt>
                <c:pt idx="3">
                  <c:v>7.8</c:v>
                </c:pt>
                <c:pt idx="4">
                  <c:v>12.7</c:v>
                </c:pt>
                <c:pt idx="5">
                  <c:v>15.5</c:v>
                </c:pt>
                <c:pt idx="6">
                  <c:v>17.100000000000001</c:v>
                </c:pt>
                <c:pt idx="7">
                  <c:v>16.5</c:v>
                </c:pt>
                <c:pt idx="8">
                  <c:v>12.6</c:v>
                </c:pt>
                <c:pt idx="9">
                  <c:v>7.8</c:v>
                </c:pt>
                <c:pt idx="10">
                  <c:v>2.6</c:v>
                </c:pt>
                <c:pt idx="11">
                  <c:v>-2</c:v>
                </c:pt>
                <c:pt idx="12">
                  <c:v>-4.2</c:v>
                </c:pt>
              </c:numCache>
            </c:numRef>
          </c:xVal>
          <c:yVal>
            <c:numRef>
              <c:f>spis!$T$212:$T$224</c:f>
              <c:numCache>
                <c:formatCode>General</c:formatCode>
                <c:ptCount val="13"/>
                <c:pt idx="0">
                  <c:v>3229.5400238948623</c:v>
                </c:pt>
                <c:pt idx="1">
                  <c:v>2923.2804232804233</c:v>
                </c:pt>
                <c:pt idx="2">
                  <c:v>2374.9253285543609</c:v>
                </c:pt>
                <c:pt idx="3">
                  <c:v>1698.6882716049383</c:v>
                </c:pt>
                <c:pt idx="4">
                  <c:v>1073.7753882915174</c:v>
                </c:pt>
                <c:pt idx="5">
                  <c:v>716.43518518518522</c:v>
                </c:pt>
                <c:pt idx="6">
                  <c:v>512.24611708482678</c:v>
                </c:pt>
                <c:pt idx="7">
                  <c:v>588.78434886499406</c:v>
                </c:pt>
                <c:pt idx="8">
                  <c:v>1086.4197530864199</c:v>
                </c:pt>
                <c:pt idx="9">
                  <c:v>1698.7753882915169</c:v>
                </c:pt>
                <c:pt idx="10">
                  <c:v>2361.8827160493825</c:v>
                </c:pt>
                <c:pt idx="11">
                  <c:v>2948.7753882915172</c:v>
                </c:pt>
                <c:pt idx="12">
                  <c:v>3229.5400238948623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2-8D8B-4B88-B2D8-1338FB7967D6}"/>
            </c:ext>
          </c:extLst>
        </c:ser>
        <c:ser>
          <c:idx val="3"/>
          <c:order val="3"/>
          <c:tx>
            <c:strRef>
              <c:f>spis!$U$211</c:f>
              <c:strCache>
                <c:ptCount val="1"/>
                <c:pt idx="0">
                  <c:v>zisky</c:v>
                </c:pt>
              </c:strCache>
            </c:strRef>
          </c:tx>
          <c:marker>
            <c:symbol val="none"/>
          </c:marker>
          <c:xVal>
            <c:numRef>
              <c:f>spis!$B$212:$B$224</c:f>
              <c:numCache>
                <c:formatCode>General</c:formatCode>
                <c:ptCount val="13"/>
                <c:pt idx="0">
                  <c:v>-4.2</c:v>
                </c:pt>
                <c:pt idx="1">
                  <c:v>-1.8</c:v>
                </c:pt>
                <c:pt idx="2">
                  <c:v>2.5</c:v>
                </c:pt>
                <c:pt idx="3">
                  <c:v>7.8</c:v>
                </c:pt>
                <c:pt idx="4">
                  <c:v>12.7</c:v>
                </c:pt>
                <c:pt idx="5">
                  <c:v>15.5</c:v>
                </c:pt>
                <c:pt idx="6">
                  <c:v>17.100000000000001</c:v>
                </c:pt>
                <c:pt idx="7">
                  <c:v>16.5</c:v>
                </c:pt>
                <c:pt idx="8">
                  <c:v>12.6</c:v>
                </c:pt>
                <c:pt idx="9">
                  <c:v>7.8</c:v>
                </c:pt>
                <c:pt idx="10">
                  <c:v>2.6</c:v>
                </c:pt>
                <c:pt idx="11">
                  <c:v>-2</c:v>
                </c:pt>
                <c:pt idx="12">
                  <c:v>-4.2</c:v>
                </c:pt>
              </c:numCache>
            </c:numRef>
          </c:xVal>
          <c:yVal>
            <c:numRef>
              <c:f>spis!$U$212:$U$224</c:f>
              <c:numCache>
                <c:formatCode>General</c:formatCode>
                <c:ptCount val="13"/>
                <c:pt idx="0">
                  <c:v>891.94855137395461</c:v>
                </c:pt>
                <c:pt idx="1">
                  <c:v>1143.7698412698412</c:v>
                </c:pt>
                <c:pt idx="2">
                  <c:v>1209.6609916367979</c:v>
                </c:pt>
                <c:pt idx="3">
                  <c:v>1239.7831790123455</c:v>
                </c:pt>
                <c:pt idx="4">
                  <c:v>955.88709677419365</c:v>
                </c:pt>
                <c:pt idx="5">
                  <c:v>715.7673611111112</c:v>
                </c:pt>
                <c:pt idx="6">
                  <c:v>511.74395161290323</c:v>
                </c:pt>
                <c:pt idx="7">
                  <c:v>589.12410394265237</c:v>
                </c:pt>
                <c:pt idx="8">
                  <c:v>910.71334876543199</c:v>
                </c:pt>
                <c:pt idx="9">
                  <c:v>956.42099761051384</c:v>
                </c:pt>
                <c:pt idx="10">
                  <c:v>835.91203703703695</c:v>
                </c:pt>
                <c:pt idx="11">
                  <c:v>801.73835125448034</c:v>
                </c:pt>
                <c:pt idx="12">
                  <c:v>891.94855137395461</c:v>
                </c:pt>
              </c:numCache>
            </c:numRef>
          </c:yVal>
          <c:extLst xmlns:c16r2="http://schemas.microsoft.com/office/drawing/2015/06/chart">
            <c:ext xmlns:c16="http://schemas.microsoft.com/office/drawing/2014/chart" uri="{C3380CC4-5D6E-409C-BE32-E72D297353CC}">
              <c16:uniqueId val="{00000003-8D8B-4B88-B2D8-1338FB7967D6}"/>
            </c:ext>
          </c:extLst>
        </c:ser>
        <c:axId val="118896512"/>
        <c:axId val="118898048"/>
      </c:scatterChart>
      <c:valAx>
        <c:axId val="118896512"/>
        <c:scaling>
          <c:orientation val="minMax"/>
        </c:scaling>
        <c:axPos val="b"/>
        <c:min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8898048"/>
        <c:crosses val="autoZero"/>
        <c:crossBetween val="midCat"/>
      </c:valAx>
      <c:valAx>
        <c:axId val="118898048"/>
        <c:scaling>
          <c:orientation val="minMax"/>
        </c:scaling>
        <c:axPos val="l"/>
        <c:majorGridlines/>
        <c:minorGridlines/>
        <c:numFmt formatCode="General" sourceLinked="1"/>
        <c:tickLblPos val="nextTo"/>
        <c:crossAx val="118896512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4" Type="http://schemas.openxmlformats.org/officeDocument/2006/relationships/image" Target="../media/image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chart" Target="../charts/chart5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hart" Target="../charts/chart59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image" Target="../media/image13.png"/><Relationship Id="rId1" Type="http://schemas.openxmlformats.org/officeDocument/2006/relationships/chart" Target="../charts/chart6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4.xml"/><Relationship Id="rId1" Type="http://schemas.openxmlformats.org/officeDocument/2006/relationships/image" Target="../media/image2.jpeg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4" Type="http://schemas.openxmlformats.org/officeDocument/2006/relationships/chart" Target="../charts/chart7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chart" Target="../charts/chart23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171450</xdr:colOff>
      <xdr:row>42</xdr:row>
      <xdr:rowOff>66675</xdr:rowOff>
    </xdr:from>
    <xdr:to>
      <xdr:col>21</xdr:col>
      <xdr:colOff>247650</xdr:colOff>
      <xdr:row>56</xdr:row>
      <xdr:rowOff>66675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38</xdr:row>
      <xdr:rowOff>38099</xdr:rowOff>
    </xdr:from>
    <xdr:to>
      <xdr:col>20</xdr:col>
      <xdr:colOff>76199</xdr:colOff>
      <xdr:row>49</xdr:row>
      <xdr:rowOff>123825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114299</xdr:colOff>
      <xdr:row>0</xdr:row>
      <xdr:rowOff>0</xdr:rowOff>
    </xdr:from>
    <xdr:to>
      <xdr:col>16</xdr:col>
      <xdr:colOff>333374</xdr:colOff>
      <xdr:row>4</xdr:row>
      <xdr:rowOff>190499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228600</xdr:colOff>
      <xdr:row>37</xdr:row>
      <xdr:rowOff>57150</xdr:rowOff>
    </xdr:from>
    <xdr:to>
      <xdr:col>6</xdr:col>
      <xdr:colOff>200025</xdr:colOff>
      <xdr:row>48</xdr:row>
      <xdr:rowOff>123824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495299</xdr:colOff>
      <xdr:row>39</xdr:row>
      <xdr:rowOff>38100</xdr:rowOff>
    </xdr:from>
    <xdr:to>
      <xdr:col>13</xdr:col>
      <xdr:colOff>57150</xdr:colOff>
      <xdr:row>48</xdr:row>
      <xdr:rowOff>95249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457201</xdr:colOff>
      <xdr:row>0</xdr:row>
      <xdr:rowOff>0</xdr:rowOff>
    </xdr:from>
    <xdr:to>
      <xdr:col>22</xdr:col>
      <xdr:colOff>180975</xdr:colOff>
      <xdr:row>5</xdr:row>
      <xdr:rowOff>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</xdr:row>
      <xdr:rowOff>123825</xdr:rowOff>
    </xdr:from>
    <xdr:to>
      <xdr:col>21</xdr:col>
      <xdr:colOff>447675</xdr:colOff>
      <xdr:row>18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99191119-1108-4E25-A966-D350D550E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361950</xdr:colOff>
      <xdr:row>19</xdr:row>
      <xdr:rowOff>28575</xdr:rowOff>
    </xdr:from>
    <xdr:to>
      <xdr:col>21</xdr:col>
      <xdr:colOff>428625</xdr:colOff>
      <xdr:row>34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5C18E9F6-13FF-4168-A7AD-5E09D0727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385762</xdr:colOff>
      <xdr:row>34</xdr:row>
      <xdr:rowOff>147637</xdr:rowOff>
    </xdr:from>
    <xdr:to>
      <xdr:col>16</xdr:col>
      <xdr:colOff>157162</xdr:colOff>
      <xdr:row>51</xdr:row>
      <xdr:rowOff>138112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B19118F4-8B8E-4FD6-81BD-1D5C43162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171450</xdr:colOff>
      <xdr:row>8</xdr:row>
      <xdr:rowOff>47625</xdr:rowOff>
    </xdr:from>
    <xdr:to>
      <xdr:col>25</xdr:col>
      <xdr:colOff>133350</xdr:colOff>
      <xdr:row>26</xdr:row>
      <xdr:rowOff>133349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95250</xdr:colOff>
      <xdr:row>3</xdr:row>
      <xdr:rowOff>66674</xdr:rowOff>
    </xdr:from>
    <xdr:to>
      <xdr:col>18</xdr:col>
      <xdr:colOff>400050</xdr:colOff>
      <xdr:row>21</xdr:row>
      <xdr:rowOff>133350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590550</xdr:colOff>
      <xdr:row>51</xdr:row>
      <xdr:rowOff>38100</xdr:rowOff>
    </xdr:from>
    <xdr:to>
      <xdr:col>22</xdr:col>
      <xdr:colOff>495298</xdr:colOff>
      <xdr:row>66</xdr:row>
      <xdr:rowOff>161925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7</xdr:row>
      <xdr:rowOff>114299</xdr:rowOff>
    </xdr:from>
    <xdr:to>
      <xdr:col>15</xdr:col>
      <xdr:colOff>457200</xdr:colOff>
      <xdr:row>28</xdr:row>
      <xdr:rowOff>9524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19050</xdr:colOff>
      <xdr:row>9</xdr:row>
      <xdr:rowOff>9525</xdr:rowOff>
    </xdr:from>
    <xdr:to>
      <xdr:col>24</xdr:col>
      <xdr:colOff>19050</xdr:colOff>
      <xdr:row>28</xdr:row>
      <xdr:rowOff>47625</xdr:rowOff>
    </xdr:to>
    <xdr:pic>
      <xdr:nvPicPr>
        <xdr:cNvPr id="4" name="Obrázek 3" descr="vicen.JPG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86875" y="1724025"/>
          <a:ext cx="4876800" cy="3657600"/>
        </a:xfrm>
        <a:prstGeom prst="rect">
          <a:avLst/>
        </a:prstGeom>
      </xdr:spPr>
    </xdr:pic>
    <xdr:clientData/>
  </xdr:twoCellAnchor>
  <xdr:twoCellAnchor editAs="oneCell">
    <xdr:from>
      <xdr:col>13</xdr:col>
      <xdr:colOff>600075</xdr:colOff>
      <xdr:row>32</xdr:row>
      <xdr:rowOff>171450</xdr:rowOff>
    </xdr:from>
    <xdr:to>
      <xdr:col>33</xdr:col>
      <xdr:colOff>554146</xdr:colOff>
      <xdr:row>50</xdr:row>
      <xdr:rowOff>181455</xdr:rowOff>
    </xdr:to>
    <xdr:pic>
      <xdr:nvPicPr>
        <xdr:cNvPr id="5" name="Obrázek 4" descr="vicen2.PN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9100" y="6267450"/>
          <a:ext cx="12146071" cy="343900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285751</xdr:colOff>
      <xdr:row>7</xdr:row>
      <xdr:rowOff>66674</xdr:rowOff>
    </xdr:from>
    <xdr:to>
      <xdr:col>19</xdr:col>
      <xdr:colOff>419101</xdr:colOff>
      <xdr:row>25</xdr:row>
      <xdr:rowOff>190499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104777</xdr:colOff>
      <xdr:row>15</xdr:row>
      <xdr:rowOff>76199</xdr:rowOff>
    </xdr:from>
    <xdr:to>
      <xdr:col>25</xdr:col>
      <xdr:colOff>47626</xdr:colOff>
      <xdr:row>35</xdr:row>
      <xdr:rowOff>133350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268432</xdr:colOff>
      <xdr:row>5</xdr:row>
      <xdr:rowOff>77065</xdr:rowOff>
    </xdr:from>
    <xdr:to>
      <xdr:col>26</xdr:col>
      <xdr:colOff>43296</xdr:colOff>
      <xdr:row>21</xdr:row>
      <xdr:rowOff>51954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8658</xdr:colOff>
      <xdr:row>71</xdr:row>
      <xdr:rowOff>181841</xdr:rowOff>
    </xdr:from>
    <xdr:to>
      <xdr:col>20</xdr:col>
      <xdr:colOff>329044</xdr:colOff>
      <xdr:row>86</xdr:row>
      <xdr:rowOff>69273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20</xdr:row>
      <xdr:rowOff>95250</xdr:rowOff>
    </xdr:from>
    <xdr:to>
      <xdr:col>21</xdr:col>
      <xdr:colOff>514350</xdr:colOff>
      <xdr:row>40</xdr:row>
      <xdr:rowOff>38099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419101</xdr:colOff>
      <xdr:row>0</xdr:row>
      <xdr:rowOff>66675</xdr:rowOff>
    </xdr:from>
    <xdr:to>
      <xdr:col>20</xdr:col>
      <xdr:colOff>152401</xdr:colOff>
      <xdr:row>13</xdr:row>
      <xdr:rowOff>19050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171450</xdr:colOff>
      <xdr:row>13</xdr:row>
      <xdr:rowOff>123825</xdr:rowOff>
    </xdr:from>
    <xdr:to>
      <xdr:col>6</xdr:col>
      <xdr:colOff>457200</xdr:colOff>
      <xdr:row>19</xdr:row>
      <xdr:rowOff>171449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238124</xdr:colOff>
      <xdr:row>5</xdr:row>
      <xdr:rowOff>133350</xdr:rowOff>
    </xdr:from>
    <xdr:to>
      <xdr:col>27</xdr:col>
      <xdr:colOff>142875</xdr:colOff>
      <xdr:row>20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55</xdr:row>
      <xdr:rowOff>0</xdr:rowOff>
    </xdr:from>
    <xdr:to>
      <xdr:col>30</xdr:col>
      <xdr:colOff>1696</xdr:colOff>
      <xdr:row>73</xdr:row>
      <xdr:rowOff>479</xdr:rowOff>
    </xdr:to>
    <xdr:pic>
      <xdr:nvPicPr>
        <xdr:cNvPr id="3" name="Obrázek 2" descr="verovice.PN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477500"/>
          <a:ext cx="11717446" cy="3429479"/>
        </a:xfrm>
        <a:prstGeom prst="rect">
          <a:avLst/>
        </a:prstGeom>
      </xdr:spPr>
    </xdr:pic>
    <xdr:clientData/>
  </xdr:twoCellAnchor>
  <xdr:twoCellAnchor>
    <xdr:from>
      <xdr:col>27</xdr:col>
      <xdr:colOff>323850</xdr:colOff>
      <xdr:row>5</xdr:row>
      <xdr:rowOff>171450</xdr:rowOff>
    </xdr:from>
    <xdr:to>
      <xdr:col>39</xdr:col>
      <xdr:colOff>209550</xdr:colOff>
      <xdr:row>20</xdr:row>
      <xdr:rowOff>57150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180974</xdr:colOff>
      <xdr:row>6</xdr:row>
      <xdr:rowOff>76200</xdr:rowOff>
    </xdr:from>
    <xdr:to>
      <xdr:col>32</xdr:col>
      <xdr:colOff>209549</xdr:colOff>
      <xdr:row>20</xdr:row>
      <xdr:rowOff>152400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180976</xdr:colOff>
      <xdr:row>20</xdr:row>
      <xdr:rowOff>38100</xdr:rowOff>
    </xdr:from>
    <xdr:to>
      <xdr:col>21</xdr:col>
      <xdr:colOff>123825</xdr:colOff>
      <xdr:row>34</xdr:row>
      <xdr:rowOff>114300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142875</xdr:colOff>
      <xdr:row>6</xdr:row>
      <xdr:rowOff>19050</xdr:rowOff>
    </xdr:from>
    <xdr:to>
      <xdr:col>21</xdr:col>
      <xdr:colOff>95250</xdr:colOff>
      <xdr:row>19</xdr:row>
      <xdr:rowOff>133350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200025</xdr:colOff>
      <xdr:row>4</xdr:row>
      <xdr:rowOff>66674</xdr:rowOff>
    </xdr:from>
    <xdr:to>
      <xdr:col>18</xdr:col>
      <xdr:colOff>266699</xdr:colOff>
      <xdr:row>24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26</xdr:row>
      <xdr:rowOff>47625</xdr:rowOff>
    </xdr:from>
    <xdr:to>
      <xdr:col>18</xdr:col>
      <xdr:colOff>180974</xdr:colOff>
      <xdr:row>40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5</xdr:row>
      <xdr:rowOff>114300</xdr:rowOff>
    </xdr:from>
    <xdr:to>
      <xdr:col>11</xdr:col>
      <xdr:colOff>276225</xdr:colOff>
      <xdr:row>22</xdr:row>
      <xdr:rowOff>28574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22</xdr:row>
      <xdr:rowOff>0</xdr:rowOff>
    </xdr:from>
    <xdr:to>
      <xdr:col>32</xdr:col>
      <xdr:colOff>1703</xdr:colOff>
      <xdr:row>42</xdr:row>
      <xdr:rowOff>76743</xdr:rowOff>
    </xdr:to>
    <xdr:pic>
      <xdr:nvPicPr>
        <xdr:cNvPr id="3" name="Obrázek 2" descr="tz koz.PNG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4191000"/>
          <a:ext cx="12193703" cy="388674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180975</xdr:rowOff>
    </xdr:from>
    <xdr:to>
      <xdr:col>20</xdr:col>
      <xdr:colOff>295275</xdr:colOff>
      <xdr:row>27</xdr:row>
      <xdr:rowOff>161924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7</xdr:row>
      <xdr:rowOff>76200</xdr:rowOff>
    </xdr:from>
    <xdr:to>
      <xdr:col>19</xdr:col>
      <xdr:colOff>161924</xdr:colOff>
      <xdr:row>24</xdr:row>
      <xdr:rowOff>161924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26</xdr:row>
      <xdr:rowOff>0</xdr:rowOff>
    </xdr:from>
    <xdr:to>
      <xdr:col>20</xdr:col>
      <xdr:colOff>582724</xdr:colOff>
      <xdr:row>44</xdr:row>
      <xdr:rowOff>29058</xdr:rowOff>
    </xdr:to>
    <xdr:pic>
      <xdr:nvPicPr>
        <xdr:cNvPr id="3" name="Obrázek 2" descr="nezatepl 19 kW.PNG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953000"/>
          <a:ext cx="12165124" cy="345805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542925</xdr:colOff>
      <xdr:row>11</xdr:row>
      <xdr:rowOff>47625</xdr:rowOff>
    </xdr:from>
    <xdr:to>
      <xdr:col>19</xdr:col>
      <xdr:colOff>419100</xdr:colOff>
      <xdr:row>38</xdr:row>
      <xdr:rowOff>114300</xdr:rowOff>
    </xdr:to>
    <xdr:graphicFrame macro="">
      <xdr:nvGraphicFramePr>
        <xdr:cNvPr id="2" name="Graf 2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161925</xdr:colOff>
      <xdr:row>2</xdr:row>
      <xdr:rowOff>28575</xdr:rowOff>
    </xdr:from>
    <xdr:to>
      <xdr:col>27</xdr:col>
      <xdr:colOff>504825</xdr:colOff>
      <xdr:row>12</xdr:row>
      <xdr:rowOff>38100</xdr:rowOff>
    </xdr:to>
    <xdr:graphicFrame macro="">
      <xdr:nvGraphicFramePr>
        <xdr:cNvPr id="3" name="Graf 3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16</xdr:row>
      <xdr:rowOff>38100</xdr:rowOff>
    </xdr:from>
    <xdr:to>
      <xdr:col>8</xdr:col>
      <xdr:colOff>447675</xdr:colOff>
      <xdr:row>39</xdr:row>
      <xdr:rowOff>123825</xdr:rowOff>
    </xdr:to>
    <xdr:graphicFrame macro="">
      <xdr:nvGraphicFramePr>
        <xdr:cNvPr id="4" name="Graf 2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0</xdr:colOff>
      <xdr:row>41</xdr:row>
      <xdr:rowOff>0</xdr:rowOff>
    </xdr:from>
    <xdr:to>
      <xdr:col>27</xdr:col>
      <xdr:colOff>104775</xdr:colOff>
      <xdr:row>63</xdr:row>
      <xdr:rowOff>142875</xdr:rowOff>
    </xdr:to>
    <xdr:pic>
      <xdr:nvPicPr>
        <xdr:cNvPr id="5" name="Obrázek 4" descr="osw1.PNG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267200" y="6638925"/>
          <a:ext cx="12296775" cy="3705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18</xdr:col>
      <xdr:colOff>533400</xdr:colOff>
      <xdr:row>6</xdr:row>
      <xdr:rowOff>171450</xdr:rowOff>
    </xdr:to>
    <xdr:pic>
      <xdr:nvPicPr>
        <xdr:cNvPr id="6" name="Obrázek 5" descr="i0082001 oswald.jpg"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48900" y="514350"/>
          <a:ext cx="1143000" cy="71437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12</xdr:row>
      <xdr:rowOff>38100</xdr:rowOff>
    </xdr:from>
    <xdr:to>
      <xdr:col>8</xdr:col>
      <xdr:colOff>581024</xdr:colOff>
      <xdr:row>25</xdr:row>
      <xdr:rowOff>133349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552450</xdr:colOff>
      <xdr:row>12</xdr:row>
      <xdr:rowOff>180975</xdr:rowOff>
    </xdr:from>
    <xdr:to>
      <xdr:col>21</xdr:col>
      <xdr:colOff>295275</xdr:colOff>
      <xdr:row>27</xdr:row>
      <xdr:rowOff>95250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219075</xdr:colOff>
      <xdr:row>12</xdr:row>
      <xdr:rowOff>180975</xdr:rowOff>
    </xdr:from>
    <xdr:to>
      <xdr:col>15</xdr:col>
      <xdr:colOff>428625</xdr:colOff>
      <xdr:row>25</xdr:row>
      <xdr:rowOff>19050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180976</xdr:colOff>
      <xdr:row>9</xdr:row>
      <xdr:rowOff>38100</xdr:rowOff>
    </xdr:from>
    <xdr:to>
      <xdr:col>27</xdr:col>
      <xdr:colOff>333376</xdr:colOff>
      <xdr:row>22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142875</xdr:colOff>
      <xdr:row>23</xdr:row>
      <xdr:rowOff>66675</xdr:rowOff>
    </xdr:from>
    <xdr:to>
      <xdr:col>37</xdr:col>
      <xdr:colOff>344596</xdr:colOff>
      <xdr:row>41</xdr:row>
      <xdr:rowOff>57630</xdr:rowOff>
    </xdr:to>
    <xdr:pic>
      <xdr:nvPicPr>
        <xdr:cNvPr id="3" name="Obrázek 2" descr="ku ztraty.PNG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48350" y="4457700"/>
          <a:ext cx="12146071" cy="3439005"/>
        </a:xfrm>
        <a:prstGeom prst="rect">
          <a:avLst/>
        </a:prstGeom>
      </xdr:spPr>
    </xdr:pic>
    <xdr:clientData/>
  </xdr:twoCellAnchor>
  <xdr:twoCellAnchor>
    <xdr:from>
      <xdr:col>0</xdr:col>
      <xdr:colOff>180974</xdr:colOff>
      <xdr:row>29</xdr:row>
      <xdr:rowOff>66675</xdr:rowOff>
    </xdr:from>
    <xdr:to>
      <xdr:col>12</xdr:col>
      <xdr:colOff>19049</xdr:colOff>
      <xdr:row>43</xdr:row>
      <xdr:rowOff>142875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4</xdr:row>
      <xdr:rowOff>0</xdr:rowOff>
    </xdr:from>
    <xdr:to>
      <xdr:col>19</xdr:col>
      <xdr:colOff>514350</xdr:colOff>
      <xdr:row>29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142875</xdr:colOff>
      <xdr:row>10</xdr:row>
      <xdr:rowOff>0</xdr:rowOff>
    </xdr:from>
    <xdr:to>
      <xdr:col>7</xdr:col>
      <xdr:colOff>247650</xdr:colOff>
      <xdr:row>24</xdr:row>
      <xdr:rowOff>76200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371474</xdr:colOff>
      <xdr:row>6</xdr:row>
      <xdr:rowOff>180974</xdr:rowOff>
    </xdr:from>
    <xdr:to>
      <xdr:col>19</xdr:col>
      <xdr:colOff>238124</xdr:colOff>
      <xdr:row>24</xdr:row>
      <xdr:rowOff>171449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49</xdr:row>
      <xdr:rowOff>57150</xdr:rowOff>
    </xdr:from>
    <xdr:to>
      <xdr:col>9</xdr:col>
      <xdr:colOff>0</xdr:colOff>
      <xdr:row>58</xdr:row>
      <xdr:rowOff>161925</xdr:rowOff>
    </xdr:to>
    <xdr:pic>
      <xdr:nvPicPr>
        <xdr:cNvPr id="4" name="Obrázek 3" descr="TN_0054001.JPG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3105150"/>
          <a:ext cx="2438400" cy="18288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69</xdr:row>
      <xdr:rowOff>76200</xdr:rowOff>
    </xdr:from>
    <xdr:to>
      <xdr:col>15</xdr:col>
      <xdr:colOff>342900</xdr:colOff>
      <xdr:row>83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0</xdr:colOff>
      <xdr:row>64</xdr:row>
      <xdr:rowOff>0</xdr:rowOff>
    </xdr:from>
    <xdr:to>
      <xdr:col>50</xdr:col>
      <xdr:colOff>220774</xdr:colOff>
      <xdr:row>84</xdr:row>
      <xdr:rowOff>67216</xdr:rowOff>
    </xdr:to>
    <xdr:pic>
      <xdr:nvPicPr>
        <xdr:cNvPr id="8" name="Obrázek 7" descr="novak tz2.PNG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0425" y="8582025"/>
          <a:ext cx="12165124" cy="3877216"/>
        </a:xfrm>
        <a:prstGeom prst="rect">
          <a:avLst/>
        </a:prstGeom>
      </xdr:spPr>
    </xdr:pic>
    <xdr:clientData/>
  </xdr:twoCellAnchor>
  <xdr:twoCellAnchor>
    <xdr:from>
      <xdr:col>0</xdr:col>
      <xdr:colOff>57152</xdr:colOff>
      <xdr:row>3</xdr:row>
      <xdr:rowOff>180975</xdr:rowOff>
    </xdr:from>
    <xdr:to>
      <xdr:col>19</xdr:col>
      <xdr:colOff>266700</xdr:colOff>
      <xdr:row>18</xdr:row>
      <xdr:rowOff>57151</xdr:rowOff>
    </xdr:to>
    <xdr:graphicFrame macro="">
      <xdr:nvGraphicFramePr>
        <xdr:cNvPr id="7" name="Graf 6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209550</xdr:colOff>
      <xdr:row>129</xdr:row>
      <xdr:rowOff>66675</xdr:rowOff>
    </xdr:from>
    <xdr:to>
      <xdr:col>17</xdr:col>
      <xdr:colOff>19050</xdr:colOff>
      <xdr:row>148</xdr:row>
      <xdr:rowOff>47625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57150</xdr:colOff>
      <xdr:row>2</xdr:row>
      <xdr:rowOff>1057275</xdr:rowOff>
    </xdr:from>
    <xdr:to>
      <xdr:col>32</xdr:col>
      <xdr:colOff>200025</xdr:colOff>
      <xdr:row>18</xdr:row>
      <xdr:rowOff>104774</xdr:rowOff>
    </xdr:to>
    <xdr:graphicFrame macro="">
      <xdr:nvGraphicFramePr>
        <xdr:cNvPr id="9" name="Graf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14</xdr:row>
      <xdr:rowOff>104774</xdr:rowOff>
    </xdr:from>
    <xdr:to>
      <xdr:col>6</xdr:col>
      <xdr:colOff>438150</xdr:colOff>
      <xdr:row>26</xdr:row>
      <xdr:rowOff>133349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333375</xdr:colOff>
      <xdr:row>14</xdr:row>
      <xdr:rowOff>161924</xdr:rowOff>
    </xdr:from>
    <xdr:to>
      <xdr:col>14</xdr:col>
      <xdr:colOff>476249</xdr:colOff>
      <xdr:row>24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133350</xdr:colOff>
      <xdr:row>25</xdr:row>
      <xdr:rowOff>114300</xdr:rowOff>
    </xdr:from>
    <xdr:to>
      <xdr:col>18</xdr:col>
      <xdr:colOff>438150</xdr:colOff>
      <xdr:row>40</xdr:row>
      <xdr:rowOff>0</xdr:rowOff>
    </xdr:to>
    <xdr:graphicFrame macro="">
      <xdr:nvGraphicFramePr>
        <xdr:cNvPr id="8" name="Graf 7">
          <a:extLst>
            <a:ext uri="{FF2B5EF4-FFF2-40B4-BE49-F238E27FC236}">
              <a16:creationId xmlns="" xmlns:a16="http://schemas.microsoft.com/office/drawing/2014/main" id="{00000000-0008-0000-19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342900</xdr:colOff>
      <xdr:row>40</xdr:row>
      <xdr:rowOff>161924</xdr:rowOff>
    </xdr:from>
    <xdr:to>
      <xdr:col>7</xdr:col>
      <xdr:colOff>285750</xdr:colOff>
      <xdr:row>51</xdr:row>
      <xdr:rowOff>152399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333375</xdr:colOff>
      <xdr:row>2624</xdr:row>
      <xdr:rowOff>114300</xdr:rowOff>
    </xdr:from>
    <xdr:to>
      <xdr:col>18</xdr:col>
      <xdr:colOff>447675</xdr:colOff>
      <xdr:row>2639</xdr:row>
      <xdr:rowOff>0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485775</xdr:colOff>
      <xdr:row>5</xdr:row>
      <xdr:rowOff>152400</xdr:rowOff>
    </xdr:from>
    <xdr:to>
      <xdr:col>18</xdr:col>
      <xdr:colOff>104775</xdr:colOff>
      <xdr:row>25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4</xdr:row>
      <xdr:rowOff>152400</xdr:rowOff>
    </xdr:from>
    <xdr:to>
      <xdr:col>22</xdr:col>
      <xdr:colOff>323850</xdr:colOff>
      <xdr:row>21</xdr:row>
      <xdr:rowOff>47625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FBFF6615-4830-4EF7-B5AF-83D857471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28</xdr:row>
      <xdr:rowOff>104775</xdr:rowOff>
    </xdr:from>
    <xdr:to>
      <xdr:col>23</xdr:col>
      <xdr:colOff>276225</xdr:colOff>
      <xdr:row>42</xdr:row>
      <xdr:rowOff>180975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238125</xdr:colOff>
      <xdr:row>209</xdr:row>
      <xdr:rowOff>161925</xdr:rowOff>
    </xdr:from>
    <xdr:to>
      <xdr:col>16</xdr:col>
      <xdr:colOff>276225</xdr:colOff>
      <xdr:row>227</xdr:row>
      <xdr:rowOff>180975</xdr:rowOff>
    </xdr:to>
    <xdr:graphicFrame macro="">
      <xdr:nvGraphicFramePr>
        <xdr:cNvPr id="3" name="Graf 3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85724</xdr:colOff>
      <xdr:row>356</xdr:row>
      <xdr:rowOff>95250</xdr:rowOff>
    </xdr:from>
    <xdr:to>
      <xdr:col>18</xdr:col>
      <xdr:colOff>314325</xdr:colOff>
      <xdr:row>374</xdr:row>
      <xdr:rowOff>133349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161925</xdr:colOff>
      <xdr:row>344</xdr:row>
      <xdr:rowOff>66675</xdr:rowOff>
    </xdr:from>
    <xdr:to>
      <xdr:col>19</xdr:col>
      <xdr:colOff>314324</xdr:colOff>
      <xdr:row>356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47625</xdr:colOff>
      <xdr:row>273</xdr:row>
      <xdr:rowOff>95250</xdr:rowOff>
    </xdr:from>
    <xdr:to>
      <xdr:col>15</xdr:col>
      <xdr:colOff>285750</xdr:colOff>
      <xdr:row>287</xdr:row>
      <xdr:rowOff>171450</xdr:rowOff>
    </xdr:to>
    <xdr:graphicFrame macro="">
      <xdr:nvGraphicFramePr>
        <xdr:cNvPr id="8" name="Graf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15</xdr:row>
      <xdr:rowOff>76200</xdr:rowOff>
    </xdr:from>
    <xdr:to>
      <xdr:col>11</xdr:col>
      <xdr:colOff>247650</xdr:colOff>
      <xdr:row>30</xdr:row>
      <xdr:rowOff>104775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28575</xdr:colOff>
      <xdr:row>22</xdr:row>
      <xdr:rowOff>76199</xdr:rowOff>
    </xdr:from>
    <xdr:to>
      <xdr:col>23</xdr:col>
      <xdr:colOff>323850</xdr:colOff>
      <xdr:row>33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285750</xdr:colOff>
      <xdr:row>20</xdr:row>
      <xdr:rowOff>28575</xdr:rowOff>
    </xdr:from>
    <xdr:to>
      <xdr:col>34</xdr:col>
      <xdr:colOff>266700</xdr:colOff>
      <xdr:row>33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28575</xdr:colOff>
      <xdr:row>34</xdr:row>
      <xdr:rowOff>38100</xdr:rowOff>
    </xdr:from>
    <xdr:to>
      <xdr:col>25</xdr:col>
      <xdr:colOff>161925</xdr:colOff>
      <xdr:row>48</xdr:row>
      <xdr:rowOff>114300</xdr:rowOff>
    </xdr:to>
    <xdr:graphicFrame macro="">
      <xdr:nvGraphicFramePr>
        <xdr:cNvPr id="5" name="Graf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190499</xdr:colOff>
      <xdr:row>35</xdr:row>
      <xdr:rowOff>123825</xdr:rowOff>
    </xdr:from>
    <xdr:to>
      <xdr:col>24</xdr:col>
      <xdr:colOff>47624</xdr:colOff>
      <xdr:row>49</xdr:row>
      <xdr:rowOff>142874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19049</xdr:colOff>
      <xdr:row>7</xdr:row>
      <xdr:rowOff>19049</xdr:rowOff>
    </xdr:from>
    <xdr:to>
      <xdr:col>39</xdr:col>
      <xdr:colOff>257172</xdr:colOff>
      <xdr:row>19</xdr:row>
      <xdr:rowOff>114298</xdr:rowOff>
    </xdr:to>
    <xdr:graphicFrame macro="">
      <xdr:nvGraphicFramePr>
        <xdr:cNvPr id="7" name="Graf 6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68036</xdr:colOff>
      <xdr:row>9</xdr:row>
      <xdr:rowOff>164643</xdr:rowOff>
    </xdr:from>
    <xdr:to>
      <xdr:col>11</xdr:col>
      <xdr:colOff>11275</xdr:colOff>
      <xdr:row>25</xdr:row>
      <xdr:rowOff>87474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218492</xdr:colOff>
      <xdr:row>27</xdr:row>
      <xdr:rowOff>76395</xdr:rowOff>
    </xdr:from>
    <xdr:to>
      <xdr:col>20</xdr:col>
      <xdr:colOff>18467</xdr:colOff>
      <xdr:row>41</xdr:row>
      <xdr:rowOff>152594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93892</xdr:colOff>
      <xdr:row>9</xdr:row>
      <xdr:rowOff>76389</xdr:rowOff>
    </xdr:from>
    <xdr:to>
      <xdr:col>16</xdr:col>
      <xdr:colOff>189142</xdr:colOff>
      <xdr:row>25</xdr:row>
      <xdr:rowOff>38289</xdr:rowOff>
    </xdr:to>
    <xdr:graphicFrame macro="">
      <xdr:nvGraphicFramePr>
        <xdr:cNvPr id="5" name="Graf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273698</xdr:colOff>
      <xdr:row>9</xdr:row>
      <xdr:rowOff>113330</xdr:rowOff>
    </xdr:from>
    <xdr:to>
      <xdr:col>21</xdr:col>
      <xdr:colOff>197498</xdr:colOff>
      <xdr:row>23</xdr:row>
      <xdr:rowOff>193418</xdr:rowOff>
    </xdr:to>
    <xdr:graphicFrame macro="">
      <xdr:nvGraphicFramePr>
        <xdr:cNvPr id="7" name="Graf 6">
          <a:extLst>
            <a:ext uri="{FF2B5EF4-FFF2-40B4-BE49-F238E27FC236}">
              <a16:creationId xmlns=""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104775</xdr:rowOff>
    </xdr:from>
    <xdr:to>
      <xdr:col>11</xdr:col>
      <xdr:colOff>428625</xdr:colOff>
      <xdr:row>16</xdr:row>
      <xdr:rowOff>133349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38100</xdr:colOff>
      <xdr:row>46</xdr:row>
      <xdr:rowOff>180975</xdr:rowOff>
    </xdr:from>
    <xdr:to>
      <xdr:col>28</xdr:col>
      <xdr:colOff>287473</xdr:colOff>
      <xdr:row>67</xdr:row>
      <xdr:rowOff>38639</xdr:rowOff>
    </xdr:to>
    <xdr:pic>
      <xdr:nvPicPr>
        <xdr:cNvPr id="5" name="Obrázek 4" descr="step tepl.PNG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8943975"/>
          <a:ext cx="12336598" cy="3858164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13</xdr:row>
      <xdr:rowOff>28575</xdr:rowOff>
    </xdr:from>
    <xdr:to>
      <xdr:col>22</xdr:col>
      <xdr:colOff>149225</xdr:colOff>
      <xdr:row>46</xdr:row>
      <xdr:rowOff>92075</xdr:rowOff>
    </xdr:to>
    <xdr:pic>
      <xdr:nvPicPr>
        <xdr:cNvPr id="4" name="Obrázek 3" descr="str.jpe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1325" y="2505075"/>
          <a:ext cx="6350000" cy="635000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35</xdr:row>
      <xdr:rowOff>104774</xdr:rowOff>
    </xdr:from>
    <xdr:to>
      <xdr:col>7</xdr:col>
      <xdr:colOff>161924</xdr:colOff>
      <xdr:row>49</xdr:row>
      <xdr:rowOff>161925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57150</xdr:colOff>
      <xdr:row>20</xdr:row>
      <xdr:rowOff>123825</xdr:rowOff>
    </xdr:from>
    <xdr:to>
      <xdr:col>8</xdr:col>
      <xdr:colOff>66675</xdr:colOff>
      <xdr:row>35</xdr:row>
      <xdr:rowOff>9525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66674</xdr:colOff>
      <xdr:row>5</xdr:row>
      <xdr:rowOff>104775</xdr:rowOff>
    </xdr:from>
    <xdr:to>
      <xdr:col>13</xdr:col>
      <xdr:colOff>466724</xdr:colOff>
      <xdr:row>20</xdr:row>
      <xdr:rowOff>38100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314325</xdr:colOff>
      <xdr:row>32</xdr:row>
      <xdr:rowOff>133350</xdr:rowOff>
    </xdr:from>
    <xdr:to>
      <xdr:col>24</xdr:col>
      <xdr:colOff>142875</xdr:colOff>
      <xdr:row>43</xdr:row>
      <xdr:rowOff>57149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28575</xdr:colOff>
      <xdr:row>11</xdr:row>
      <xdr:rowOff>47625</xdr:rowOff>
    </xdr:from>
    <xdr:to>
      <xdr:col>40</xdr:col>
      <xdr:colOff>382689</xdr:colOff>
      <xdr:row>31</xdr:row>
      <xdr:rowOff>86262</xdr:rowOff>
    </xdr:to>
    <xdr:pic>
      <xdr:nvPicPr>
        <xdr:cNvPr id="4" name="Obrázek 3" descr="hom-ztr.PNG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10750" y="2143125"/>
          <a:ext cx="12098439" cy="3848637"/>
        </a:xfrm>
        <a:prstGeom prst="rect">
          <a:avLst/>
        </a:prstGeom>
      </xdr:spPr>
    </xdr:pic>
    <xdr:clientData/>
  </xdr:twoCellAnchor>
  <xdr:twoCellAnchor>
    <xdr:from>
      <xdr:col>14</xdr:col>
      <xdr:colOff>76199</xdr:colOff>
      <xdr:row>5</xdr:row>
      <xdr:rowOff>114300</xdr:rowOff>
    </xdr:from>
    <xdr:to>
      <xdr:col>23</xdr:col>
      <xdr:colOff>247649</xdr:colOff>
      <xdr:row>20</xdr:row>
      <xdr:rowOff>66675</xdr:rowOff>
    </xdr:to>
    <xdr:graphicFrame macro="">
      <xdr:nvGraphicFramePr>
        <xdr:cNvPr id="6" name="Graf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85725</xdr:colOff>
      <xdr:row>46</xdr:row>
      <xdr:rowOff>28575</xdr:rowOff>
    </xdr:from>
    <xdr:to>
      <xdr:col>28</xdr:col>
      <xdr:colOff>57150</xdr:colOff>
      <xdr:row>60</xdr:row>
      <xdr:rowOff>85725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114300</xdr:colOff>
      <xdr:row>57</xdr:row>
      <xdr:rowOff>161925</xdr:rowOff>
    </xdr:from>
    <xdr:to>
      <xdr:col>14</xdr:col>
      <xdr:colOff>19050</xdr:colOff>
      <xdr:row>72</xdr:row>
      <xdr:rowOff>47625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4</xdr:row>
      <xdr:rowOff>104775</xdr:rowOff>
    </xdr:from>
    <xdr:to>
      <xdr:col>9</xdr:col>
      <xdr:colOff>533400</xdr:colOff>
      <xdr:row>25</xdr:row>
      <xdr:rowOff>9525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200024</xdr:colOff>
      <xdr:row>4</xdr:row>
      <xdr:rowOff>85725</xdr:rowOff>
    </xdr:from>
    <xdr:to>
      <xdr:col>19</xdr:col>
      <xdr:colOff>590549</xdr:colOff>
      <xdr:row>24</xdr:row>
      <xdr:rowOff>180975</xdr:rowOff>
    </xdr:to>
    <xdr:graphicFrame macro="">
      <xdr:nvGraphicFramePr>
        <xdr:cNvPr id="3" name="Graf 2"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kondenzace.kvalitne.cz/kks/navrh-radiatoru-a-stoupacek.xlsx" TargetMode="External"/><Relationship Id="rId3" Type="http://schemas.openxmlformats.org/officeDocument/2006/relationships/hyperlink" Target="https://kondenzace.kvalitne.cz/kks/optimalizace-tc.xlsm" TargetMode="External"/><Relationship Id="rId7" Type="http://schemas.openxmlformats.org/officeDocument/2006/relationships/hyperlink" Target="https://kondenzace.kvalitne.cz/kks/optimalizace-vytapeni.xlsm" TargetMode="External"/><Relationship Id="rId2" Type="http://schemas.openxmlformats.org/officeDocument/2006/relationships/hyperlink" Target="https://forum.tzb-info.cz/143546-investice-do-vytapeni-snad-nekomu-pomuze" TargetMode="External"/><Relationship Id="rId1" Type="http://schemas.openxmlformats.org/officeDocument/2006/relationships/hyperlink" Target="https://forum.tzb-info.cz/143230-vaillant-vu-256-5-5-ecotec-plus-erelax-ekvitermni-regulator/vsechny-prispevky" TargetMode="External"/><Relationship Id="rId6" Type="http://schemas.openxmlformats.org/officeDocument/2006/relationships/hyperlink" Target="https://kondenzace.kvalitne.cz/kks/optimalizace-vytapeni.xlsm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kondenzace.kvalitne.cz/kks/" TargetMode="External"/><Relationship Id="rId10" Type="http://schemas.openxmlformats.org/officeDocument/2006/relationships/hyperlink" Target="http://kondenzace.kvalitne.cz/kks/optimalizace-fve.xlsm" TargetMode="External"/><Relationship Id="rId4" Type="http://schemas.openxmlformats.org/officeDocument/2006/relationships/hyperlink" Target="https://forum.tzb-info.cz/143451-hystereze-horaku-wolf/vsechny-prispevky" TargetMode="External"/><Relationship Id="rId9" Type="http://schemas.openxmlformats.org/officeDocument/2006/relationships/hyperlink" Target="https://kondenzace.kvalitne.cz/kks/dny-bez-cyklovani.xlsx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vytapeni.tzb-info.cz/tepelna-cerpadla/13507-hodnoceni-scop-tepelnych-cerpadel-pro-vytapeni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forum.tzb-info.cz/150772-solarni-system-na-dum-s-tc?p=557656" TargetMode="External"/><Relationship Id="rId1" Type="http://schemas.openxmlformats.org/officeDocument/2006/relationships/hyperlink" Target="https://kondenzace.kvalitne.cz/kks/spotreby.xlsx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forum.tzb-info.cz/139365-vyber-kondenz-kotle-s-tuv-pro-male-tep-ztraty-okolo-2kw/vsechny-prispevky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kondenzace.kvalitne.cz/kks/spotreby.xlsx" TargetMode="External"/><Relationship Id="rId1" Type="http://schemas.openxmlformats.org/officeDocument/2006/relationships/hyperlink" Target="https://forum.tzb-info.cz/148561-casty-zapinani/vsechny-prispevky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://kondenzace.kvalitne.cz/kks/spotreby.xlsx" TargetMode="External"/><Relationship Id="rId1" Type="http://schemas.openxmlformats.org/officeDocument/2006/relationships/hyperlink" Target="https://forum.tzb-info.cz/137564-zkusenosti-tc-samsung-ehs-6kw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forum.tzb-info.cz/143726-kotel-junkers-a-honeywell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s://forum.tzb-info.cz/111698-tc-lwz-303-403-integral-sol-stiebel-eltron/vsechny-prispevky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hyperlink" Target="https://forum.tzb-info.cz/145770-turbo-vs-kondenzace/vsechny-prispevky" TargetMode="External"/><Relationship Id="rId1" Type="http://schemas.openxmlformats.org/officeDocument/2006/relationships/hyperlink" Target="http://kondenzace.kvalitne.cz/kks/spotreby.xlsx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pasivnidomy.cz/domy/pasivni-dum-verovice-303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forum.tzb-info.cz/152422-oprava-nebo-vymena-kotle-protherm-30-klz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hyperlink" Target="http://kondenzace.kvalitne.cz/kks/spotreby.xlsx" TargetMode="External"/><Relationship Id="rId1" Type="http://schemas.openxmlformats.org/officeDocument/2006/relationships/hyperlink" Target="https://forum.tzb-info.cz/148320-obehove-cerpadlo-nemoduluje-therm-24kdzn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hyperlink" Target="https://forum.tzb-info.cz/143230-vaillant-vu-256-5-5-ecotec-plus-erelax-ekvitermni-regulator/vsechny-prispevky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hyperlink" Target="https://forum.tzb-info.cz/144484-jaky-termostat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hyperlink" Target="https://forum.tzb-info.cz/143088-jak-na-nastaveni-vykonu-cerpadla-u-kk?idtext=77" TargetMode="External"/><Relationship Id="rId1" Type="http://schemas.openxmlformats.org/officeDocument/2006/relationships/hyperlink" Target="http://petr.homolka1995.sweb.cz/1/spotreby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hyperlink" Target="https://forum.tzb-info.cz/152620-chytre-vytapeni-pomoci-plynoveho-kotle?p=577653" TargetMode="External"/><Relationship Id="rId1" Type="http://schemas.openxmlformats.org/officeDocument/2006/relationships/hyperlink" Target="https://forum.tzb-info.cz/152620-chytre-vytapeni-pomoci-plynoveho-kotle?p=577638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hyperlink" Target="https://forum.tzb-info.cz/106509-sledovani-spotreby-zp-aneb-spotreba-f-prumerna-venkovni-teplota?idtext=9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forum.tzb-info.cz/133779-vliv-salani-na-tepelnou-ztraru-domu/vsechny-prispevky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forum.tzb-info.cz/141400-zhodnoceni-topne-sezony/vsechny-prispevky" TargetMode="External"/><Relationship Id="rId1" Type="http://schemas.openxmlformats.org/officeDocument/2006/relationships/hyperlink" Target="https://forum.tzb-info.cz/143433-zmena-vytapeni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kondenzace.kvalitne.cz/kks/spotreby.xlsx" TargetMode="External"/><Relationship Id="rId4" Type="http://schemas.openxmlformats.org/officeDocument/2006/relationships/hyperlink" Target="https://forum.tzb-info.cz/144783-jak-se-dostat-na-tz-u-novostavby-3-5-4-kw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hyperlink" Target="http://kondenzace.kvalitne.cz/kks/optimalizace-tc.xlsm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kondenzace.kvalitne.cz/kks/optimalizace-tc.xlsm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hyperlink" Target="https://forum.tzb-info.cz/150360-lg-therma-v-9kw-tichy-monoblok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kondenzace.kvalitne.cz/kks/spotreby.xlsx" TargetMode="External"/><Relationship Id="rId2" Type="http://schemas.openxmlformats.org/officeDocument/2006/relationships/hyperlink" Target="https://vytapeni.tzb-info.cz/tabulky-a-vypocty/103-vypocet-denostupnu" TargetMode="External"/><Relationship Id="rId1" Type="http://schemas.openxmlformats.org/officeDocument/2006/relationships/hyperlink" Target="https://forum.tzb-info.cz/149818-bungalov-tz-6kw-navrh-zdroja-vykurovania-tuv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://kondenzace.kvalitne.cz/kks/spotreby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kondenzace.kvalitne.cz/kks/spotreby.xlsx" TargetMode="External"/><Relationship Id="rId1" Type="http://schemas.openxmlformats.org/officeDocument/2006/relationships/hyperlink" Target="https://kondenzace.kvalitne.cz/kks/spotreby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forum.tzb-info.cz/149785-spotreba-plynu-rd-48-mwh-za-186-dni?idtext=17" TargetMode="External"/><Relationship Id="rId2" Type="http://schemas.openxmlformats.org/officeDocument/2006/relationships/hyperlink" Target="http://kondenzace.kvalitne.cz/kks/spotreby.xlsx" TargetMode="External"/><Relationship Id="rId1" Type="http://schemas.openxmlformats.org/officeDocument/2006/relationships/hyperlink" Target="https://forum.tzb-info.cz/148458-projekt-manualni-ekviternm/vsechny-prispevky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kondenzace.kvalitne.cz/kks/spotreby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forum.tzb-info.cz/134566-plynovy-kondenzacni-kotel-jaka-znacka-prosim?idtext=94" TargetMode="External"/><Relationship Id="rId7" Type="http://schemas.openxmlformats.org/officeDocument/2006/relationships/drawing" Target="../drawings/drawing8.xml"/><Relationship Id="rId2" Type="http://schemas.openxmlformats.org/officeDocument/2006/relationships/hyperlink" Target="https://forum.tzb-info.cz/113312-denostupne" TargetMode="External"/><Relationship Id="rId1" Type="http://schemas.openxmlformats.org/officeDocument/2006/relationships/hyperlink" Target="https://forum.tzb-info.cz/128773-o-kolik-byla-zima-2013-2014-teplejsi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s://forum.tzb-info.cz/126846-optimalni-nastaveni-kk/strana-3" TargetMode="External"/><Relationship Id="rId4" Type="http://schemas.openxmlformats.org/officeDocument/2006/relationships/hyperlink" Target="https://forum.tzb-info.cz/126846-optimalni-nastaveni-kk/vsechny-prispevky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forum.tzb-info.cz/133895-nejlepsi-tepelne-cerpadlo/vsechny-prispevky" TargetMode="External"/><Relationship Id="rId2" Type="http://schemas.openxmlformats.org/officeDocument/2006/relationships/hyperlink" Target="http://kondenzace.kvalitne.cz/kks/tc-9kw-lg-therma.xlsx" TargetMode="External"/><Relationship Id="rId1" Type="http://schemas.openxmlformats.org/officeDocument/2006/relationships/hyperlink" Target="https://forum.tzb-info.cz/133895-nejlepsi-tepelne-cerpadlo/vsechny-prispev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58"/>
  <sheetViews>
    <sheetView workbookViewId="0">
      <selection activeCell="R6" sqref="R6"/>
    </sheetView>
  </sheetViews>
  <sheetFormatPr defaultRowHeight="15"/>
  <sheetData>
    <row r="1" spans="1:24" s="114" customFormat="1">
      <c r="A1" s="141" t="s">
        <v>1470</v>
      </c>
      <c r="C1" s="146" t="s">
        <v>1468</v>
      </c>
      <c r="D1"/>
      <c r="E1"/>
      <c r="F1"/>
      <c r="G1"/>
      <c r="H1"/>
      <c r="I1" s="114" t="s">
        <v>369</v>
      </c>
      <c r="J1" s="46" t="s">
        <v>236</v>
      </c>
      <c r="K1"/>
      <c r="L1"/>
      <c r="M1"/>
      <c r="N1"/>
      <c r="O1" s="69"/>
      <c r="P1" s="114" t="s">
        <v>368</v>
      </c>
      <c r="Q1"/>
      <c r="R1"/>
    </row>
    <row r="2" spans="1:24" s="114" customFormat="1">
      <c r="A2" s="141" t="s">
        <v>1471</v>
      </c>
      <c r="C2" s="146" t="s">
        <v>1469</v>
      </c>
      <c r="D2" s="141"/>
      <c r="E2" s="141"/>
      <c r="F2" s="141"/>
      <c r="G2" s="141"/>
      <c r="H2" s="141"/>
      <c r="I2" s="141"/>
      <c r="J2" s="141"/>
      <c r="P2" s="146" t="s">
        <v>1472</v>
      </c>
    </row>
    <row r="3" spans="1:24" s="114" customFormat="1">
      <c r="C3" s="146" t="s">
        <v>1473</v>
      </c>
      <c r="P3" s="69"/>
    </row>
    <row r="4" spans="1:24" s="141" customFormat="1">
      <c r="B4"/>
      <c r="C4" s="146" t="s">
        <v>1478</v>
      </c>
      <c r="P4" s="146"/>
    </row>
    <row r="5" spans="1:24" s="141" customFormat="1">
      <c r="C5" s="146" t="s">
        <v>1479</v>
      </c>
      <c r="I5" s="141" t="s">
        <v>1524</v>
      </c>
      <c r="P5" s="146"/>
    </row>
    <row r="6" spans="1:24">
      <c r="A6" s="110" t="s">
        <v>367</v>
      </c>
      <c r="Q6" s="146"/>
      <c r="R6" s="143"/>
      <c r="S6" s="141"/>
      <c r="T6" s="141"/>
      <c r="U6" s="141"/>
      <c r="V6" s="141"/>
      <c r="W6" s="141"/>
      <c r="X6" s="141"/>
    </row>
    <row r="7" spans="1:24">
      <c r="A7" s="141" t="s">
        <v>1474</v>
      </c>
    </row>
    <row r="8" spans="1:24">
      <c r="A8" s="141" t="s">
        <v>1475</v>
      </c>
    </row>
    <row r="9" spans="1:24">
      <c r="A9" s="40" t="s">
        <v>133</v>
      </c>
    </row>
    <row r="10" spans="1:24">
      <c r="A10" s="33" t="s">
        <v>84</v>
      </c>
    </row>
    <row r="11" spans="1:24">
      <c r="A11" s="114" t="s">
        <v>83</v>
      </c>
    </row>
    <row r="13" spans="1:24">
      <c r="A13" s="33" t="s">
        <v>92</v>
      </c>
      <c r="J13" s="19" t="s">
        <v>85</v>
      </c>
    </row>
    <row r="14" spans="1:24" s="33" customFormat="1">
      <c r="A14" s="33" t="s">
        <v>99</v>
      </c>
      <c r="J14" s="19"/>
    </row>
    <row r="16" spans="1:24">
      <c r="A16" s="33" t="s">
        <v>90</v>
      </c>
      <c r="H16" s="19" t="s">
        <v>54</v>
      </c>
    </row>
    <row r="17" spans="1:6">
      <c r="A17" s="43" t="s">
        <v>1461</v>
      </c>
    </row>
    <row r="19" spans="1:6">
      <c r="A19" s="141" t="s">
        <v>1476</v>
      </c>
    </row>
    <row r="20" spans="1:6">
      <c r="A20" s="141" t="s">
        <v>1477</v>
      </c>
      <c r="F20" s="19" t="s">
        <v>86</v>
      </c>
    </row>
    <row r="21" spans="1:6">
      <c r="A21" s="109" t="s">
        <v>356</v>
      </c>
    </row>
    <row r="22" spans="1:6" s="46" customFormat="1">
      <c r="A22" s="117" t="s">
        <v>513</v>
      </c>
    </row>
    <row r="23" spans="1:6" s="46" customFormat="1">
      <c r="A23" s="46" t="s">
        <v>260</v>
      </c>
    </row>
    <row r="24" spans="1:6" s="33" customFormat="1"/>
    <row r="25" spans="1:6" s="33" customFormat="1">
      <c r="A25" s="33" t="s">
        <v>100</v>
      </c>
    </row>
    <row r="26" spans="1:6" s="33" customFormat="1">
      <c r="A26" s="33" t="s">
        <v>101</v>
      </c>
    </row>
    <row r="27" spans="1:6">
      <c r="A27" s="33" t="s">
        <v>87</v>
      </c>
    </row>
    <row r="28" spans="1:6">
      <c r="A28" s="33" t="s">
        <v>88</v>
      </c>
    </row>
    <row r="30" spans="1:6">
      <c r="A30" s="33" t="s">
        <v>91</v>
      </c>
    </row>
    <row r="31" spans="1:6">
      <c r="A31" s="146" t="s">
        <v>1469</v>
      </c>
    </row>
    <row r="32" spans="1:6">
      <c r="A32" s="36" t="s">
        <v>93</v>
      </c>
    </row>
    <row r="33" spans="1:13">
      <c r="A33" s="36" t="s">
        <v>94</v>
      </c>
    </row>
    <row r="34" spans="1:13">
      <c r="A34" s="36" t="s">
        <v>370</v>
      </c>
    </row>
    <row r="37" spans="1:13">
      <c r="A37" s="40" t="s">
        <v>139</v>
      </c>
      <c r="F37" s="42" t="s">
        <v>147</v>
      </c>
      <c r="G37" s="42" t="s">
        <v>146</v>
      </c>
      <c r="H37" s="40" t="s">
        <v>148</v>
      </c>
      <c r="I37" s="40" t="s">
        <v>150</v>
      </c>
      <c r="L37">
        <v>90</v>
      </c>
    </row>
    <row r="38" spans="1:13">
      <c r="C38" s="2">
        <v>85</v>
      </c>
      <c r="F38" s="2">
        <v>2.1</v>
      </c>
      <c r="G38" s="2">
        <v>3</v>
      </c>
      <c r="H38" s="40" t="s">
        <v>149</v>
      </c>
      <c r="I38" s="2">
        <v>1.2</v>
      </c>
      <c r="K38" s="40" t="s">
        <v>154</v>
      </c>
      <c r="L38" s="40" t="s">
        <v>153</v>
      </c>
    </row>
    <row r="39" spans="1:13">
      <c r="A39" s="40" t="s">
        <v>104</v>
      </c>
      <c r="B39" s="40" t="s">
        <v>140</v>
      </c>
      <c r="C39" s="40" t="s">
        <v>141</v>
      </c>
      <c r="D39" s="40" t="s">
        <v>142</v>
      </c>
      <c r="E39" s="40" t="s">
        <v>143</v>
      </c>
      <c r="F39" s="40" t="s">
        <v>144</v>
      </c>
      <c r="G39" s="40" t="s">
        <v>145</v>
      </c>
      <c r="I39" s="40" t="s">
        <v>151</v>
      </c>
      <c r="J39" s="40" t="s">
        <v>152</v>
      </c>
    </row>
    <row r="40" spans="1:13">
      <c r="A40">
        <v>2</v>
      </c>
      <c r="B40">
        <v>4</v>
      </c>
      <c r="C40">
        <f>A40*24*C$38</f>
        <v>4080</v>
      </c>
      <c r="D40">
        <f>1000*B40</f>
        <v>4000</v>
      </c>
      <c r="E40">
        <f>SUM(C40:D40)</f>
        <v>8080</v>
      </c>
      <c r="F40">
        <f>E40*F$38</f>
        <v>16968</v>
      </c>
      <c r="G40">
        <f>E40*F$38/G$38</f>
        <v>5656</v>
      </c>
      <c r="H40" s="2">
        <v>60000</v>
      </c>
      <c r="I40">
        <f>H40/(F40-G40)</f>
        <v>5.3041018387553045</v>
      </c>
      <c r="J40">
        <f>H40/(E40*I$38-G40)</f>
        <v>14.851485148514852</v>
      </c>
      <c r="K40">
        <f>L40/G40</f>
        <v>2.323196605374823</v>
      </c>
      <c r="L40">
        <f>B40*100*365*L$37/1000</f>
        <v>13140</v>
      </c>
    </row>
    <row r="41" spans="1:13">
      <c r="A41">
        <v>2.5</v>
      </c>
      <c r="B41">
        <f>B40</f>
        <v>4</v>
      </c>
      <c r="C41" s="40">
        <f>A41*24*C$38</f>
        <v>5100</v>
      </c>
      <c r="D41" s="40">
        <f>1000*B41</f>
        <v>4000</v>
      </c>
      <c r="E41" s="40">
        <f>SUM(C41:D41)</f>
        <v>9100</v>
      </c>
      <c r="F41" s="40">
        <f t="shared" ref="F41:F48" si="0">E41*F$38</f>
        <v>19110</v>
      </c>
      <c r="G41" s="40">
        <f>E41*F$38/G$38</f>
        <v>6370</v>
      </c>
      <c r="H41" s="40">
        <f>H40</f>
        <v>60000</v>
      </c>
      <c r="I41" s="40">
        <f>H41/(F41-G41)</f>
        <v>4.7095761381475665</v>
      </c>
      <c r="J41" s="40">
        <f t="shared" ref="J41:J58" si="1">H41/(E41*I$38-G41)</f>
        <v>13.186813186813186</v>
      </c>
      <c r="K41" s="40">
        <f t="shared" ref="K41:K58" si="2">L41/G41</f>
        <v>2.0627943485086342</v>
      </c>
      <c r="L41" s="40">
        <f t="shared" ref="L41:L58" si="3">B41*100*365*L$37/1000</f>
        <v>13140</v>
      </c>
      <c r="M41" s="40" t="s">
        <v>155</v>
      </c>
    </row>
    <row r="42" spans="1:13">
      <c r="A42" s="40">
        <v>3</v>
      </c>
      <c r="B42" s="40">
        <f t="shared" ref="B42:B48" si="4">B41</f>
        <v>4</v>
      </c>
      <c r="C42" s="40">
        <f>A42*24*C$38</f>
        <v>6120</v>
      </c>
      <c r="D42" s="40">
        <f>1000*B42</f>
        <v>4000</v>
      </c>
      <c r="E42" s="40">
        <f>SUM(C42:D42)</f>
        <v>10120</v>
      </c>
      <c r="F42" s="40">
        <f t="shared" si="0"/>
        <v>21252</v>
      </c>
      <c r="G42" s="40">
        <f>E42*F$38/G$38</f>
        <v>7084</v>
      </c>
      <c r="H42" s="40">
        <f t="shared" ref="H42:H58" si="5">H41</f>
        <v>60000</v>
      </c>
      <c r="I42" s="40">
        <f>H42/(F42-G42)</f>
        <v>4.2348955392433654</v>
      </c>
      <c r="J42" s="40">
        <f t="shared" si="1"/>
        <v>11.857707509881424</v>
      </c>
      <c r="K42" s="40">
        <f t="shared" si="2"/>
        <v>1.8548842461885939</v>
      </c>
      <c r="L42" s="40">
        <f t="shared" si="3"/>
        <v>13140</v>
      </c>
    </row>
    <row r="43" spans="1:13">
      <c r="A43" s="40">
        <v>3.5</v>
      </c>
      <c r="B43" s="40">
        <f t="shared" si="4"/>
        <v>4</v>
      </c>
      <c r="C43" s="40">
        <f t="shared" ref="C43:C48" si="6">A43*24*C$38</f>
        <v>7140</v>
      </c>
      <c r="D43" s="40">
        <f t="shared" ref="D43:D48" si="7">1000*B43</f>
        <v>4000</v>
      </c>
      <c r="E43" s="40">
        <f t="shared" ref="E43:E48" si="8">SUM(C43:D43)</f>
        <v>11140</v>
      </c>
      <c r="F43" s="40">
        <f t="shared" si="0"/>
        <v>23394</v>
      </c>
      <c r="G43" s="40">
        <f t="shared" ref="G43:G48" si="9">E43*F$38/G$38</f>
        <v>7798</v>
      </c>
      <c r="H43" s="40">
        <f t="shared" si="5"/>
        <v>60000</v>
      </c>
      <c r="I43" s="40">
        <f t="shared" ref="I43:I48" si="10">H43/(F43-G43)</f>
        <v>3.8471402923826621</v>
      </c>
      <c r="J43" s="40">
        <f t="shared" si="1"/>
        <v>10.771992818671455</v>
      </c>
      <c r="K43" s="40">
        <f t="shared" si="2"/>
        <v>1.685047448063606</v>
      </c>
      <c r="L43" s="40">
        <f t="shared" si="3"/>
        <v>13140</v>
      </c>
    </row>
    <row r="44" spans="1:13">
      <c r="A44" s="40">
        <v>4</v>
      </c>
      <c r="B44" s="40">
        <f t="shared" si="4"/>
        <v>4</v>
      </c>
      <c r="C44" s="40">
        <f t="shared" si="6"/>
        <v>8160</v>
      </c>
      <c r="D44" s="40">
        <f t="shared" si="7"/>
        <v>4000</v>
      </c>
      <c r="E44" s="40">
        <f t="shared" si="8"/>
        <v>12160</v>
      </c>
      <c r="F44" s="40">
        <f t="shared" si="0"/>
        <v>25536</v>
      </c>
      <c r="G44" s="40">
        <f t="shared" si="9"/>
        <v>8512</v>
      </c>
      <c r="H44" s="40">
        <f t="shared" si="5"/>
        <v>60000</v>
      </c>
      <c r="I44" s="40">
        <f t="shared" si="10"/>
        <v>3.524436090225564</v>
      </c>
      <c r="J44" s="40">
        <f t="shared" si="1"/>
        <v>9.8684210526315788</v>
      </c>
      <c r="K44" s="40">
        <f t="shared" si="2"/>
        <v>1.543703007518797</v>
      </c>
      <c r="L44" s="40">
        <f t="shared" si="3"/>
        <v>13140</v>
      </c>
    </row>
    <row r="45" spans="1:13">
      <c r="A45" s="40">
        <v>4.5</v>
      </c>
      <c r="B45" s="40">
        <f t="shared" si="4"/>
        <v>4</v>
      </c>
      <c r="C45" s="40">
        <f t="shared" si="6"/>
        <v>9180</v>
      </c>
      <c r="D45" s="40">
        <f t="shared" si="7"/>
        <v>4000</v>
      </c>
      <c r="E45" s="40">
        <f t="shared" si="8"/>
        <v>13180</v>
      </c>
      <c r="F45" s="40">
        <f t="shared" si="0"/>
        <v>27678</v>
      </c>
      <c r="G45" s="40">
        <f t="shared" si="9"/>
        <v>9226</v>
      </c>
      <c r="H45" s="40">
        <f t="shared" si="5"/>
        <v>60000</v>
      </c>
      <c r="I45" s="40">
        <f t="shared" si="10"/>
        <v>3.2516800346845871</v>
      </c>
      <c r="J45" s="40">
        <f t="shared" si="1"/>
        <v>9.1047040971168443</v>
      </c>
      <c r="K45" s="40">
        <f t="shared" si="2"/>
        <v>1.424235855191849</v>
      </c>
      <c r="L45" s="40">
        <f t="shared" si="3"/>
        <v>13140</v>
      </c>
    </row>
    <row r="46" spans="1:13">
      <c r="A46" s="40">
        <v>5</v>
      </c>
      <c r="B46" s="40">
        <f t="shared" si="4"/>
        <v>4</v>
      </c>
      <c r="C46" s="40">
        <f t="shared" si="6"/>
        <v>10200</v>
      </c>
      <c r="D46" s="40">
        <f t="shared" si="7"/>
        <v>4000</v>
      </c>
      <c r="E46" s="40">
        <f t="shared" si="8"/>
        <v>14200</v>
      </c>
      <c r="F46" s="40">
        <f t="shared" si="0"/>
        <v>29820</v>
      </c>
      <c r="G46" s="40">
        <f t="shared" si="9"/>
        <v>9940</v>
      </c>
      <c r="H46" s="40">
        <f t="shared" si="5"/>
        <v>60000</v>
      </c>
      <c r="I46" s="40">
        <f t="shared" si="10"/>
        <v>3.0181086519114686</v>
      </c>
      <c r="J46" s="40">
        <f t="shared" si="1"/>
        <v>8.4507042253521121</v>
      </c>
      <c r="K46" s="40">
        <f t="shared" si="2"/>
        <v>1.3219315895372235</v>
      </c>
      <c r="L46" s="40">
        <f t="shared" si="3"/>
        <v>13140</v>
      </c>
    </row>
    <row r="47" spans="1:13">
      <c r="A47" s="40">
        <v>5.5</v>
      </c>
      <c r="B47" s="40">
        <f t="shared" si="4"/>
        <v>4</v>
      </c>
      <c r="C47" s="40">
        <f t="shared" si="6"/>
        <v>11220</v>
      </c>
      <c r="D47" s="40">
        <f t="shared" si="7"/>
        <v>4000</v>
      </c>
      <c r="E47" s="40">
        <f t="shared" si="8"/>
        <v>15220</v>
      </c>
      <c r="F47" s="40">
        <f t="shared" si="0"/>
        <v>31962</v>
      </c>
      <c r="G47" s="40">
        <f t="shared" si="9"/>
        <v>10654</v>
      </c>
      <c r="H47" s="40">
        <f t="shared" si="5"/>
        <v>60000</v>
      </c>
      <c r="I47" s="40">
        <f t="shared" si="10"/>
        <v>2.815843814529754</v>
      </c>
      <c r="J47" s="40">
        <f t="shared" si="1"/>
        <v>7.8843626806833118</v>
      </c>
      <c r="K47" s="40">
        <f t="shared" si="2"/>
        <v>1.2333395907640323</v>
      </c>
      <c r="L47" s="40">
        <f t="shared" si="3"/>
        <v>13140</v>
      </c>
    </row>
    <row r="48" spans="1:13">
      <c r="A48" s="40">
        <v>6</v>
      </c>
      <c r="B48" s="40">
        <f t="shared" si="4"/>
        <v>4</v>
      </c>
      <c r="C48" s="40">
        <f t="shared" si="6"/>
        <v>12240</v>
      </c>
      <c r="D48" s="40">
        <f t="shared" si="7"/>
        <v>4000</v>
      </c>
      <c r="E48" s="40">
        <f t="shared" si="8"/>
        <v>16240</v>
      </c>
      <c r="F48" s="40">
        <f t="shared" si="0"/>
        <v>34104</v>
      </c>
      <c r="G48" s="40">
        <f t="shared" si="9"/>
        <v>11368</v>
      </c>
      <c r="H48" s="40">
        <f t="shared" si="5"/>
        <v>60000</v>
      </c>
      <c r="I48" s="40">
        <f t="shared" si="10"/>
        <v>2.6389866291344122</v>
      </c>
      <c r="J48" s="40">
        <f t="shared" si="1"/>
        <v>7.389162561576355</v>
      </c>
      <c r="K48" s="40">
        <f t="shared" si="2"/>
        <v>1.1558761435608726</v>
      </c>
      <c r="L48" s="40">
        <f t="shared" si="3"/>
        <v>13140</v>
      </c>
    </row>
    <row r="49" spans="1:13">
      <c r="H49" s="40">
        <f t="shared" si="5"/>
        <v>60000</v>
      </c>
      <c r="J49" s="40"/>
      <c r="K49" s="40"/>
      <c r="L49" s="40"/>
    </row>
    <row r="50" spans="1:13">
      <c r="A50" s="40">
        <v>2</v>
      </c>
      <c r="B50" s="40">
        <v>2</v>
      </c>
      <c r="C50" s="40">
        <f>A50*24*C$38</f>
        <v>4080</v>
      </c>
      <c r="D50" s="40">
        <f>1000*B50</f>
        <v>2000</v>
      </c>
      <c r="E50" s="40">
        <f>SUM(C50:D50)</f>
        <v>6080</v>
      </c>
      <c r="F50" s="40">
        <f>E50*F$38</f>
        <v>12768</v>
      </c>
      <c r="G50" s="40">
        <f>E50*F$38/G$38</f>
        <v>4256</v>
      </c>
      <c r="H50" s="40">
        <f t="shared" si="5"/>
        <v>60000</v>
      </c>
      <c r="I50" s="40">
        <f>H50/(F50-G50)</f>
        <v>7.0488721804511281</v>
      </c>
      <c r="J50" s="40">
        <f t="shared" si="1"/>
        <v>19.736842105263158</v>
      </c>
      <c r="K50" s="40">
        <f t="shared" si="2"/>
        <v>1.543703007518797</v>
      </c>
      <c r="L50" s="40">
        <f t="shared" si="3"/>
        <v>6570</v>
      </c>
    </row>
    <row r="51" spans="1:13">
      <c r="A51" s="40">
        <v>2.5</v>
      </c>
      <c r="B51" s="40">
        <f>B50</f>
        <v>2</v>
      </c>
      <c r="C51" s="40">
        <f t="shared" ref="C51:C58" si="11">A51*24*C$38</f>
        <v>5100</v>
      </c>
      <c r="D51" s="40">
        <f t="shared" ref="D51:D58" si="12">1000*B51</f>
        <v>2000</v>
      </c>
      <c r="E51" s="40">
        <f t="shared" ref="E51:E58" si="13">SUM(C51:D51)</f>
        <v>7100</v>
      </c>
      <c r="F51" s="40">
        <f t="shared" ref="F51:F58" si="14">E51*F$38</f>
        <v>14910</v>
      </c>
      <c r="G51" s="40">
        <f t="shared" ref="G51:G58" si="15">E51*F$38/G$38</f>
        <v>4970</v>
      </c>
      <c r="H51" s="40">
        <f t="shared" si="5"/>
        <v>60000</v>
      </c>
      <c r="I51" s="40">
        <f t="shared" ref="I51:I58" si="16">H51/(F51-G51)</f>
        <v>6.0362173038229372</v>
      </c>
      <c r="J51" s="40">
        <f t="shared" si="1"/>
        <v>16.901408450704224</v>
      </c>
      <c r="K51" s="40">
        <f t="shared" si="2"/>
        <v>1.3219315895372235</v>
      </c>
      <c r="L51" s="40">
        <f t="shared" si="3"/>
        <v>6570</v>
      </c>
    </row>
    <row r="52" spans="1:13">
      <c r="A52" s="40">
        <v>3</v>
      </c>
      <c r="B52" s="40">
        <f t="shared" ref="B52:B57" si="17">B51</f>
        <v>2</v>
      </c>
      <c r="C52" s="40">
        <f t="shared" si="11"/>
        <v>6120</v>
      </c>
      <c r="D52" s="40">
        <f t="shared" si="12"/>
        <v>2000</v>
      </c>
      <c r="E52" s="40">
        <f t="shared" si="13"/>
        <v>8120</v>
      </c>
      <c r="F52" s="40">
        <f t="shared" si="14"/>
        <v>17052</v>
      </c>
      <c r="G52" s="40">
        <f t="shared" si="15"/>
        <v>5684</v>
      </c>
      <c r="H52" s="40">
        <f t="shared" si="5"/>
        <v>60000</v>
      </c>
      <c r="I52" s="40">
        <f t="shared" si="16"/>
        <v>5.2779732582688244</v>
      </c>
      <c r="J52" s="40">
        <f t="shared" si="1"/>
        <v>14.77832512315271</v>
      </c>
      <c r="K52" s="40">
        <f t="shared" si="2"/>
        <v>1.1558761435608726</v>
      </c>
      <c r="L52" s="40">
        <f t="shared" si="3"/>
        <v>6570</v>
      </c>
    </row>
    <row r="53" spans="1:13">
      <c r="A53" s="40">
        <v>3.5</v>
      </c>
      <c r="B53" s="40">
        <f t="shared" si="17"/>
        <v>2</v>
      </c>
      <c r="C53" s="40">
        <f t="shared" si="11"/>
        <v>7140</v>
      </c>
      <c r="D53" s="40">
        <f t="shared" si="12"/>
        <v>2000</v>
      </c>
      <c r="E53" s="40">
        <f t="shared" si="13"/>
        <v>9140</v>
      </c>
      <c r="F53" s="40">
        <f t="shared" si="14"/>
        <v>19194</v>
      </c>
      <c r="G53" s="40">
        <f t="shared" si="15"/>
        <v>6398</v>
      </c>
      <c r="H53" s="40">
        <f t="shared" si="5"/>
        <v>60000</v>
      </c>
      <c r="I53" s="40">
        <f t="shared" si="16"/>
        <v>4.6889653016567676</v>
      </c>
      <c r="J53" s="40">
        <f t="shared" si="1"/>
        <v>13.12910284463895</v>
      </c>
      <c r="K53" s="40">
        <f t="shared" si="2"/>
        <v>1.026883401062832</v>
      </c>
      <c r="L53" s="40">
        <f t="shared" si="3"/>
        <v>6570</v>
      </c>
      <c r="M53" s="40" t="s">
        <v>156</v>
      </c>
    </row>
    <row r="54" spans="1:13">
      <c r="A54" s="40">
        <v>4</v>
      </c>
      <c r="B54" s="40">
        <f t="shared" si="17"/>
        <v>2</v>
      </c>
      <c r="C54" s="40">
        <f t="shared" si="11"/>
        <v>8160</v>
      </c>
      <c r="D54" s="40">
        <f t="shared" si="12"/>
        <v>2000</v>
      </c>
      <c r="E54" s="40">
        <f t="shared" si="13"/>
        <v>10160</v>
      </c>
      <c r="F54" s="40">
        <f t="shared" si="14"/>
        <v>21336</v>
      </c>
      <c r="G54" s="40">
        <f t="shared" si="15"/>
        <v>7112</v>
      </c>
      <c r="H54" s="40">
        <f t="shared" si="5"/>
        <v>60000</v>
      </c>
      <c r="I54" s="40">
        <f t="shared" si="16"/>
        <v>4.2182227221597302</v>
      </c>
      <c r="J54" s="40">
        <f t="shared" si="1"/>
        <v>11.811023622047244</v>
      </c>
      <c r="K54" s="40">
        <f t="shared" si="2"/>
        <v>0.92379077615298089</v>
      </c>
      <c r="L54" s="40">
        <f t="shared" si="3"/>
        <v>6570</v>
      </c>
    </row>
    <row r="55" spans="1:13">
      <c r="A55" s="40">
        <v>4.5</v>
      </c>
      <c r="B55" s="40">
        <f t="shared" si="17"/>
        <v>2</v>
      </c>
      <c r="C55" s="40">
        <f t="shared" si="11"/>
        <v>9180</v>
      </c>
      <c r="D55" s="40">
        <f t="shared" si="12"/>
        <v>2000</v>
      </c>
      <c r="E55" s="40">
        <f t="shared" si="13"/>
        <v>11180</v>
      </c>
      <c r="F55" s="40">
        <f t="shared" si="14"/>
        <v>23478</v>
      </c>
      <c r="G55" s="40">
        <f t="shared" si="15"/>
        <v>7826</v>
      </c>
      <c r="H55" s="40">
        <f t="shared" si="5"/>
        <v>60000</v>
      </c>
      <c r="I55" s="40">
        <f t="shared" si="16"/>
        <v>3.833375926399182</v>
      </c>
      <c r="J55" s="40">
        <f t="shared" si="1"/>
        <v>10.733452593917709</v>
      </c>
      <c r="K55" s="40">
        <f t="shared" si="2"/>
        <v>0.83950932788142085</v>
      </c>
      <c r="L55" s="40">
        <f t="shared" si="3"/>
        <v>6570</v>
      </c>
    </row>
    <row r="56" spans="1:13">
      <c r="A56" s="40">
        <v>5</v>
      </c>
      <c r="B56" s="40">
        <f t="shared" si="17"/>
        <v>2</v>
      </c>
      <c r="C56" s="40">
        <f t="shared" si="11"/>
        <v>10200</v>
      </c>
      <c r="D56" s="40">
        <f t="shared" si="12"/>
        <v>2000</v>
      </c>
      <c r="E56" s="40">
        <f t="shared" si="13"/>
        <v>12200</v>
      </c>
      <c r="F56" s="40">
        <f t="shared" si="14"/>
        <v>25620</v>
      </c>
      <c r="G56" s="40">
        <f t="shared" si="15"/>
        <v>8540</v>
      </c>
      <c r="H56" s="40">
        <f t="shared" si="5"/>
        <v>60000</v>
      </c>
      <c r="I56" s="40">
        <f t="shared" si="16"/>
        <v>3.5128805620608898</v>
      </c>
      <c r="J56" s="40">
        <f t="shared" si="1"/>
        <v>9.8360655737704921</v>
      </c>
      <c r="K56" s="40">
        <f t="shared" si="2"/>
        <v>0.76932084309133486</v>
      </c>
      <c r="L56" s="40">
        <f t="shared" si="3"/>
        <v>6570</v>
      </c>
    </row>
    <row r="57" spans="1:13">
      <c r="A57" s="40">
        <v>5.5</v>
      </c>
      <c r="B57" s="40">
        <f t="shared" si="17"/>
        <v>2</v>
      </c>
      <c r="C57" s="40">
        <f t="shared" si="11"/>
        <v>11220</v>
      </c>
      <c r="D57" s="40">
        <f t="shared" si="12"/>
        <v>2000</v>
      </c>
      <c r="E57" s="40">
        <f t="shared" si="13"/>
        <v>13220</v>
      </c>
      <c r="F57" s="40">
        <f t="shared" si="14"/>
        <v>27762</v>
      </c>
      <c r="G57" s="40">
        <f t="shared" si="15"/>
        <v>9254</v>
      </c>
      <c r="H57" s="40">
        <f t="shared" si="5"/>
        <v>60000</v>
      </c>
      <c r="I57" s="40">
        <f t="shared" si="16"/>
        <v>3.2418413658958287</v>
      </c>
      <c r="J57" s="40">
        <f t="shared" si="1"/>
        <v>9.0771558245083206</v>
      </c>
      <c r="K57" s="40">
        <f t="shared" si="2"/>
        <v>0.70996325913118652</v>
      </c>
      <c r="L57" s="40">
        <f t="shared" si="3"/>
        <v>6570</v>
      </c>
    </row>
    <row r="58" spans="1:13">
      <c r="A58" s="40">
        <v>6</v>
      </c>
      <c r="B58" s="40">
        <v>2</v>
      </c>
      <c r="C58" s="40">
        <f t="shared" si="11"/>
        <v>12240</v>
      </c>
      <c r="D58" s="40">
        <f t="shared" si="12"/>
        <v>2000</v>
      </c>
      <c r="E58" s="40">
        <f t="shared" si="13"/>
        <v>14240</v>
      </c>
      <c r="F58" s="40">
        <f t="shared" si="14"/>
        <v>29904</v>
      </c>
      <c r="G58" s="40">
        <f t="shared" si="15"/>
        <v>9968</v>
      </c>
      <c r="H58" s="40">
        <f t="shared" si="5"/>
        <v>60000</v>
      </c>
      <c r="I58" s="40">
        <f t="shared" si="16"/>
        <v>3.0096308186195828</v>
      </c>
      <c r="J58" s="40">
        <f t="shared" si="1"/>
        <v>8.4269662921348321</v>
      </c>
      <c r="K58" s="40">
        <f t="shared" si="2"/>
        <v>0.6591091492776886</v>
      </c>
      <c r="L58" s="40">
        <f t="shared" si="3"/>
        <v>6570</v>
      </c>
    </row>
  </sheetData>
  <hyperlinks>
    <hyperlink ref="F20" r:id="rId1" location="text168"/>
    <hyperlink ref="J13" r:id="rId2"/>
    <hyperlink ref="C1" r:id="rId3"/>
    <hyperlink ref="H16" r:id="rId4" location="text46"/>
    <hyperlink ref="P2" r:id="rId5"/>
    <hyperlink ref="A31" r:id="rId6"/>
    <hyperlink ref="C2" r:id="rId7"/>
    <hyperlink ref="C3" r:id="rId8"/>
    <hyperlink ref="C4" r:id="rId9"/>
    <hyperlink ref="C5" r:id="rId10"/>
  </hyperlinks>
  <pageMargins left="0.7" right="0.7" top="0.78740157499999996" bottom="0.78740157499999996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405"/>
  <sheetViews>
    <sheetView workbookViewId="0">
      <pane ySplit="7" topLeftCell="A34" activePane="bottomLeft" state="frozen"/>
      <selection pane="bottomLeft" activeCell="A38" sqref="A38"/>
    </sheetView>
  </sheetViews>
  <sheetFormatPr defaultRowHeight="15"/>
  <cols>
    <col min="1" max="1" width="11.28515625" style="141" customWidth="1"/>
    <col min="2" max="11" width="9.140625" style="141"/>
    <col min="12" max="21" width="7.42578125" style="141" customWidth="1"/>
    <col min="22" max="16384" width="9.140625" style="141"/>
  </cols>
  <sheetData>
    <row r="1" spans="1:21">
      <c r="A1" s="146" t="s">
        <v>1583</v>
      </c>
    </row>
    <row r="2" spans="1:21">
      <c r="A2" s="141" t="s">
        <v>1582</v>
      </c>
    </row>
    <row r="3" spans="1:21" ht="18">
      <c r="A3" s="213" t="s">
        <v>1581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</row>
    <row r="4" spans="1:21" ht="60">
      <c r="A4" s="211" t="s">
        <v>1580</v>
      </c>
      <c r="B4" s="211" t="s">
        <v>1579</v>
      </c>
      <c r="C4" s="211" t="s">
        <v>1578</v>
      </c>
      <c r="D4" s="211" t="s">
        <v>1577</v>
      </c>
      <c r="E4" s="211" t="s">
        <v>1576</v>
      </c>
      <c r="F4" s="212" t="s">
        <v>1575</v>
      </c>
      <c r="G4" s="212" t="s">
        <v>1574</v>
      </c>
      <c r="H4" s="212" t="s">
        <v>1573</v>
      </c>
      <c r="I4" s="211" t="s">
        <v>1572</v>
      </c>
      <c r="J4" s="211" t="s">
        <v>1571</v>
      </c>
      <c r="K4" s="211" t="s">
        <v>1570</v>
      </c>
    </row>
    <row r="5" spans="1:21">
      <c r="A5" s="210"/>
      <c r="B5" s="210"/>
      <c r="C5" s="210"/>
      <c r="D5" s="210" t="s">
        <v>1566</v>
      </c>
      <c r="E5" s="210"/>
      <c r="F5" s="210"/>
      <c r="G5" s="210"/>
      <c r="H5" s="210"/>
      <c r="I5" s="210" t="s">
        <v>1569</v>
      </c>
      <c r="J5" s="210" t="s">
        <v>1568</v>
      </c>
      <c r="K5" s="210" t="s">
        <v>1568</v>
      </c>
    </row>
    <row r="6" spans="1:21">
      <c r="A6" s="210" t="s">
        <v>1567</v>
      </c>
      <c r="B6" s="210" t="s">
        <v>1560</v>
      </c>
      <c r="C6" s="210" t="s">
        <v>1566</v>
      </c>
      <c r="D6" s="210"/>
      <c r="E6" s="210" t="s">
        <v>1566</v>
      </c>
      <c r="F6" s="210"/>
      <c r="G6" s="210"/>
      <c r="H6" s="210"/>
      <c r="I6" s="210"/>
      <c r="J6" s="210"/>
      <c r="K6" s="210"/>
      <c r="O6" s="141" t="s">
        <v>1565</v>
      </c>
      <c r="P6" s="141" t="s">
        <v>1564</v>
      </c>
      <c r="Q6" s="141" t="s">
        <v>1563</v>
      </c>
      <c r="S6" s="141" t="s">
        <v>1562</v>
      </c>
    </row>
    <row r="7" spans="1:21">
      <c r="A7" s="209"/>
      <c r="B7" s="209" t="s">
        <v>1561</v>
      </c>
      <c r="C7" s="209"/>
      <c r="D7" s="209"/>
      <c r="E7" s="209"/>
      <c r="F7" s="209" t="s">
        <v>1560</v>
      </c>
      <c r="G7" s="209" t="s">
        <v>1560</v>
      </c>
      <c r="H7" s="209" t="s">
        <v>1560</v>
      </c>
      <c r="I7" s="209"/>
      <c r="J7" s="209"/>
      <c r="K7" s="209"/>
      <c r="L7" s="141" t="s">
        <v>1559</v>
      </c>
      <c r="Q7" s="141" t="s">
        <v>1558</v>
      </c>
      <c r="R7" s="141" t="s">
        <v>1557</v>
      </c>
      <c r="U7" s="141" t="s">
        <v>1556</v>
      </c>
    </row>
    <row r="8" spans="1:21">
      <c r="A8" s="208">
        <v>-10</v>
      </c>
      <c r="B8" s="208">
        <v>1</v>
      </c>
      <c r="C8" s="208">
        <v>10</v>
      </c>
      <c r="D8" s="208">
        <v>7.48</v>
      </c>
      <c r="E8" s="208">
        <v>2.52</v>
      </c>
      <c r="F8" s="208">
        <v>1</v>
      </c>
      <c r="G8" s="208">
        <v>2.5</v>
      </c>
      <c r="H8" s="208">
        <v>2.5</v>
      </c>
      <c r="I8" s="208">
        <v>5.51</v>
      </c>
      <c r="J8" s="208">
        <v>10</v>
      </c>
      <c r="K8" s="208">
        <v>6</v>
      </c>
      <c r="L8" s="141">
        <f t="shared" ref="L8:L13" si="0">D8/H8-I8+E8</f>
        <v>2.0000000000002238E-3</v>
      </c>
      <c r="M8" s="141">
        <f t="shared" ref="M8:M13" si="1">C8-D8-E8</f>
        <v>0</v>
      </c>
      <c r="N8" s="141">
        <f t="shared" ref="N8:N33" si="2">I8*B8-K8</f>
        <v>-0.49000000000000021</v>
      </c>
      <c r="O8" s="141">
        <v>24</v>
      </c>
      <c r="P8" s="208">
        <v>1</v>
      </c>
      <c r="Q8" s="141">
        <v>24</v>
      </c>
      <c r="R8" s="141">
        <v>1</v>
      </c>
      <c r="S8" s="143">
        <f t="shared" ref="S8:S13" si="3">D8/G8+E8</f>
        <v>5.5120000000000005</v>
      </c>
      <c r="T8" s="141">
        <f t="shared" ref="T8:T33" si="4">T7+S8*B8</f>
        <v>5.5120000000000005</v>
      </c>
      <c r="U8" s="141">
        <f t="shared" ref="U8:U33" si="5">D8/G8</f>
        <v>2.992</v>
      </c>
    </row>
    <row r="9" spans="1:21">
      <c r="A9" s="208">
        <v>-9</v>
      </c>
      <c r="B9" s="208">
        <v>25</v>
      </c>
      <c r="C9" s="208">
        <v>9.6199999999999992</v>
      </c>
      <c r="D9" s="208">
        <v>7.58</v>
      </c>
      <c r="E9" s="208">
        <v>2.0299999999999998</v>
      </c>
      <c r="F9" s="208">
        <v>1</v>
      </c>
      <c r="G9" s="208">
        <v>2.59</v>
      </c>
      <c r="H9" s="208">
        <v>2.59</v>
      </c>
      <c r="I9" s="208">
        <v>4.96</v>
      </c>
      <c r="J9" s="208">
        <v>240</v>
      </c>
      <c r="K9" s="208">
        <v>124</v>
      </c>
      <c r="L9" s="141">
        <f t="shared" si="0"/>
        <v>-3.3590733590731503E-3</v>
      </c>
      <c r="M9" s="141">
        <f t="shared" si="1"/>
        <v>9.9999999999993427E-3</v>
      </c>
      <c r="N9" s="141">
        <f t="shared" si="2"/>
        <v>0</v>
      </c>
      <c r="O9" s="141">
        <v>0</v>
      </c>
      <c r="P9" s="208">
        <v>25</v>
      </c>
      <c r="Q9" s="141">
        <f t="shared" ref="Q9:Q33" si="6">Q8+O9</f>
        <v>24</v>
      </c>
      <c r="R9" s="141">
        <f t="shared" ref="R9:R33" si="7">R8+P9</f>
        <v>26</v>
      </c>
      <c r="S9" s="143">
        <f t="shared" si="3"/>
        <v>4.9566409266409268</v>
      </c>
      <c r="T9" s="141">
        <f t="shared" si="4"/>
        <v>129.42802316602317</v>
      </c>
      <c r="U9" s="141">
        <f t="shared" si="5"/>
        <v>2.926640926640927</v>
      </c>
    </row>
    <row r="10" spans="1:21">
      <c r="A10" s="208">
        <v>-8</v>
      </c>
      <c r="B10" s="208">
        <v>23</v>
      </c>
      <c r="C10" s="208">
        <v>9.23</v>
      </c>
      <c r="D10" s="208">
        <v>7.68</v>
      </c>
      <c r="E10" s="208">
        <v>1.55</v>
      </c>
      <c r="F10" s="208">
        <v>1</v>
      </c>
      <c r="G10" s="208">
        <v>2.68</v>
      </c>
      <c r="H10" s="208">
        <v>2.68</v>
      </c>
      <c r="I10" s="208">
        <v>4.42</v>
      </c>
      <c r="J10" s="208">
        <v>212</v>
      </c>
      <c r="K10" s="208">
        <v>102</v>
      </c>
      <c r="L10" s="141">
        <f t="shared" si="0"/>
        <v>-4.3283582089552741E-3</v>
      </c>
      <c r="M10" s="141">
        <f t="shared" si="1"/>
        <v>0</v>
      </c>
      <c r="N10" s="141">
        <f t="shared" si="2"/>
        <v>-0.34000000000000341</v>
      </c>
      <c r="O10" s="141">
        <v>24</v>
      </c>
      <c r="P10" s="208">
        <v>23</v>
      </c>
      <c r="Q10" s="141">
        <f t="shared" si="6"/>
        <v>48</v>
      </c>
      <c r="R10" s="141">
        <f t="shared" si="7"/>
        <v>49</v>
      </c>
      <c r="S10" s="143">
        <f t="shared" si="3"/>
        <v>4.4156716417910449</v>
      </c>
      <c r="T10" s="141">
        <f t="shared" si="4"/>
        <v>230.98847092721718</v>
      </c>
      <c r="U10" s="141">
        <f t="shared" si="5"/>
        <v>2.8656716417910446</v>
      </c>
    </row>
    <row r="11" spans="1:21">
      <c r="A11" s="208">
        <v>-7</v>
      </c>
      <c r="B11" s="208">
        <v>24</v>
      </c>
      <c r="C11" s="208">
        <v>8.85</v>
      </c>
      <c r="D11" s="208">
        <v>7.77</v>
      </c>
      <c r="E11" s="208">
        <v>1.07</v>
      </c>
      <c r="F11" s="208">
        <v>1</v>
      </c>
      <c r="G11" s="208">
        <v>2.76</v>
      </c>
      <c r="H11" s="208">
        <v>2.76</v>
      </c>
      <c r="I11" s="208">
        <v>3.88</v>
      </c>
      <c r="J11" s="208">
        <v>212</v>
      </c>
      <c r="K11" s="208">
        <v>93</v>
      </c>
      <c r="L11" s="141">
        <f t="shared" si="0"/>
        <v>5.2173913043478404E-3</v>
      </c>
      <c r="M11" s="141">
        <f t="shared" si="1"/>
        <v>1.0000000000000009E-2</v>
      </c>
      <c r="N11" s="141">
        <f t="shared" si="2"/>
        <v>0.12000000000000455</v>
      </c>
      <c r="O11" s="141">
        <v>48</v>
      </c>
      <c r="P11" s="208">
        <v>24</v>
      </c>
      <c r="Q11" s="141">
        <f t="shared" si="6"/>
        <v>96</v>
      </c>
      <c r="R11" s="141">
        <f t="shared" si="7"/>
        <v>73</v>
      </c>
      <c r="S11" s="143">
        <f t="shared" si="3"/>
        <v>3.885217391304348</v>
      </c>
      <c r="T11" s="141">
        <f t="shared" si="4"/>
        <v>324.23368831852156</v>
      </c>
      <c r="U11" s="141">
        <f t="shared" si="5"/>
        <v>2.8152173913043477</v>
      </c>
    </row>
    <row r="12" spans="1:21">
      <c r="A12" s="208">
        <v>-6</v>
      </c>
      <c r="B12" s="208">
        <v>27</v>
      </c>
      <c r="C12" s="208">
        <v>8.4600000000000009</v>
      </c>
      <c r="D12" s="208">
        <v>7.87</v>
      </c>
      <c r="E12" s="208">
        <v>0.59</v>
      </c>
      <c r="F12" s="208">
        <v>1</v>
      </c>
      <c r="G12" s="208">
        <v>2.85</v>
      </c>
      <c r="H12" s="208">
        <v>2.85</v>
      </c>
      <c r="I12" s="208">
        <v>3.35</v>
      </c>
      <c r="J12" s="208">
        <v>228</v>
      </c>
      <c r="K12" s="208">
        <v>90</v>
      </c>
      <c r="L12" s="141">
        <f t="shared" si="0"/>
        <v>1.4035087719298511E-3</v>
      </c>
      <c r="M12" s="141">
        <f t="shared" si="1"/>
        <v>0</v>
      </c>
      <c r="N12" s="141">
        <f t="shared" si="2"/>
        <v>0.45000000000000284</v>
      </c>
      <c r="O12" s="141">
        <v>24</v>
      </c>
      <c r="P12" s="208">
        <v>27</v>
      </c>
      <c r="Q12" s="141">
        <f t="shared" si="6"/>
        <v>120</v>
      </c>
      <c r="R12" s="141">
        <f t="shared" si="7"/>
        <v>100</v>
      </c>
      <c r="S12" s="143">
        <f t="shared" si="3"/>
        <v>3.3514035087719298</v>
      </c>
      <c r="T12" s="141">
        <f t="shared" si="4"/>
        <v>414.72158305536368</v>
      </c>
      <c r="U12" s="141">
        <f t="shared" si="5"/>
        <v>2.76140350877193</v>
      </c>
    </row>
    <row r="13" spans="1:21">
      <c r="A13" s="208">
        <v>-5</v>
      </c>
      <c r="B13" s="208">
        <v>68</v>
      </c>
      <c r="C13" s="208">
        <v>8.08</v>
      </c>
      <c r="D13" s="208">
        <v>7.97</v>
      </c>
      <c r="E13" s="208">
        <v>0.11</v>
      </c>
      <c r="F13" s="208">
        <v>1</v>
      </c>
      <c r="G13" s="208">
        <v>2.94</v>
      </c>
      <c r="H13" s="208">
        <v>2.94</v>
      </c>
      <c r="I13" s="208">
        <v>2.82</v>
      </c>
      <c r="J13" s="208">
        <v>549</v>
      </c>
      <c r="K13" s="208">
        <v>192</v>
      </c>
      <c r="L13" s="141">
        <f t="shared" si="0"/>
        <v>8.8435374149677115E-4</v>
      </c>
      <c r="M13" s="141">
        <f t="shared" si="1"/>
        <v>3.1918911957973251E-16</v>
      </c>
      <c r="N13" s="141">
        <f t="shared" si="2"/>
        <v>-0.24000000000000909</v>
      </c>
      <c r="O13" s="141">
        <v>72</v>
      </c>
      <c r="P13" s="208">
        <v>68</v>
      </c>
      <c r="Q13" s="141">
        <f t="shared" si="6"/>
        <v>192</v>
      </c>
      <c r="R13" s="141">
        <f t="shared" si="7"/>
        <v>168</v>
      </c>
      <c r="S13" s="143">
        <f t="shared" si="3"/>
        <v>2.8208843537414965</v>
      </c>
      <c r="T13" s="141">
        <f t="shared" si="4"/>
        <v>606.54171910978539</v>
      </c>
      <c r="U13" s="141">
        <f t="shared" si="5"/>
        <v>2.7108843537414966</v>
      </c>
    </row>
    <row r="14" spans="1:21">
      <c r="A14" s="208">
        <v>-4</v>
      </c>
      <c r="B14" s="208">
        <v>91</v>
      </c>
      <c r="C14" s="208">
        <v>7.69</v>
      </c>
      <c r="D14" s="208">
        <v>8.06</v>
      </c>
      <c r="E14" s="208">
        <v>0</v>
      </c>
      <c r="F14" s="208">
        <v>0.95</v>
      </c>
      <c r="G14" s="208">
        <v>3.03</v>
      </c>
      <c r="H14" s="208">
        <v>3.01</v>
      </c>
      <c r="I14" s="208">
        <v>2.5499999999999998</v>
      </c>
      <c r="J14" s="208">
        <v>700</v>
      </c>
      <c r="K14" s="208">
        <v>232</v>
      </c>
      <c r="L14" s="141">
        <f t="shared" ref="L14:L33" si="8">C14/H14-I14</f>
        <v>4.8172757475088979E-3</v>
      </c>
      <c r="N14" s="141">
        <f t="shared" si="2"/>
        <v>4.9999999999982947E-2</v>
      </c>
      <c r="O14" s="141">
        <v>0</v>
      </c>
      <c r="P14" s="208">
        <v>91</v>
      </c>
      <c r="Q14" s="141">
        <f t="shared" si="6"/>
        <v>192</v>
      </c>
      <c r="R14" s="141">
        <f t="shared" si="7"/>
        <v>259</v>
      </c>
      <c r="S14" s="141">
        <f t="shared" ref="S14:S33" si="9">C14/G14</f>
        <v>2.5379537953795381</v>
      </c>
      <c r="T14" s="141">
        <f t="shared" si="4"/>
        <v>837.49551448932334</v>
      </c>
      <c r="U14" s="141">
        <f t="shared" si="5"/>
        <v>2.6600660066006605</v>
      </c>
    </row>
    <row r="15" spans="1:21">
      <c r="A15" s="208">
        <v>-3</v>
      </c>
      <c r="B15" s="208">
        <v>89</v>
      </c>
      <c r="C15" s="208">
        <v>7.31</v>
      </c>
      <c r="D15" s="208">
        <v>8.16</v>
      </c>
      <c r="E15" s="208">
        <v>0</v>
      </c>
      <c r="F15" s="208">
        <v>0.9</v>
      </c>
      <c r="G15" s="208">
        <v>3.12</v>
      </c>
      <c r="H15" s="208">
        <v>3.08</v>
      </c>
      <c r="I15" s="208">
        <v>2.37</v>
      </c>
      <c r="J15" s="208">
        <v>650</v>
      </c>
      <c r="K15" s="208">
        <v>211</v>
      </c>
      <c r="L15" s="141">
        <f t="shared" si="8"/>
        <v>3.3766233766230336E-3</v>
      </c>
      <c r="N15" s="141">
        <f t="shared" si="2"/>
        <v>-6.9999999999993179E-2</v>
      </c>
      <c r="O15" s="141">
        <v>48</v>
      </c>
      <c r="P15" s="208">
        <v>89</v>
      </c>
      <c r="Q15" s="141">
        <f t="shared" si="6"/>
        <v>240</v>
      </c>
      <c r="R15" s="141">
        <f t="shared" si="7"/>
        <v>348</v>
      </c>
      <c r="S15" s="141">
        <f t="shared" si="9"/>
        <v>2.3429487179487176</v>
      </c>
      <c r="T15" s="141">
        <f t="shared" si="4"/>
        <v>1046.0179503867591</v>
      </c>
      <c r="U15" s="141">
        <f t="shared" si="5"/>
        <v>2.6153846153846154</v>
      </c>
    </row>
    <row r="16" spans="1:21">
      <c r="A16" s="208">
        <v>-2</v>
      </c>
      <c r="B16" s="208">
        <v>165</v>
      </c>
      <c r="C16" s="208">
        <v>6.92</v>
      </c>
      <c r="D16" s="208">
        <v>8.26</v>
      </c>
      <c r="E16" s="208">
        <v>0</v>
      </c>
      <c r="F16" s="208">
        <v>0.84</v>
      </c>
      <c r="G16" s="208">
        <v>3.2</v>
      </c>
      <c r="H16" s="208">
        <v>3.14</v>
      </c>
      <c r="I16" s="208">
        <v>2.2000000000000002</v>
      </c>
      <c r="J16" s="208">
        <v>1142</v>
      </c>
      <c r="K16" s="208">
        <v>363</v>
      </c>
      <c r="L16" s="141">
        <f t="shared" si="8"/>
        <v>3.8216560509551911E-3</v>
      </c>
      <c r="N16" s="141">
        <f t="shared" si="2"/>
        <v>0</v>
      </c>
      <c r="O16" s="141">
        <v>48</v>
      </c>
      <c r="P16" s="208">
        <v>165</v>
      </c>
      <c r="Q16" s="141">
        <f t="shared" si="6"/>
        <v>288</v>
      </c>
      <c r="R16" s="141">
        <f t="shared" si="7"/>
        <v>513</v>
      </c>
      <c r="S16" s="141">
        <f t="shared" si="9"/>
        <v>2.1624999999999996</v>
      </c>
      <c r="T16" s="141">
        <f t="shared" si="4"/>
        <v>1402.8304503867591</v>
      </c>
      <c r="U16" s="141">
        <f t="shared" si="5"/>
        <v>2.5812499999999998</v>
      </c>
    </row>
    <row r="17" spans="1:21">
      <c r="A17" s="208">
        <v>-1</v>
      </c>
      <c r="B17" s="208">
        <v>173</v>
      </c>
      <c r="C17" s="208">
        <v>6.54</v>
      </c>
      <c r="D17" s="208">
        <v>8.35</v>
      </c>
      <c r="E17" s="208">
        <v>0</v>
      </c>
      <c r="F17" s="208">
        <v>0.78</v>
      </c>
      <c r="G17" s="208">
        <v>3.29</v>
      </c>
      <c r="H17" s="208">
        <v>3.2</v>
      </c>
      <c r="I17" s="208">
        <v>2.04</v>
      </c>
      <c r="J17" s="208">
        <v>1131</v>
      </c>
      <c r="K17" s="208">
        <v>353</v>
      </c>
      <c r="L17" s="141">
        <f t="shared" si="8"/>
        <v>3.749999999999698E-3</v>
      </c>
      <c r="N17" s="141">
        <f t="shared" si="2"/>
        <v>-7.9999999999984084E-2</v>
      </c>
      <c r="O17" s="141">
        <v>72</v>
      </c>
      <c r="P17" s="208">
        <v>173</v>
      </c>
      <c r="Q17" s="141">
        <f t="shared" si="6"/>
        <v>360</v>
      </c>
      <c r="R17" s="141">
        <f t="shared" si="7"/>
        <v>686</v>
      </c>
      <c r="S17" s="141">
        <f t="shared" si="9"/>
        <v>1.9878419452887537</v>
      </c>
      <c r="T17" s="141">
        <f t="shared" si="4"/>
        <v>1746.7271069217136</v>
      </c>
      <c r="U17" s="141">
        <f t="shared" si="5"/>
        <v>2.5379939209726441</v>
      </c>
    </row>
    <row r="18" spans="1:21">
      <c r="A18" s="208">
        <v>0</v>
      </c>
      <c r="B18" s="208">
        <v>240</v>
      </c>
      <c r="C18" s="208">
        <v>6.15</v>
      </c>
      <c r="D18" s="208">
        <v>8.4499999999999993</v>
      </c>
      <c r="E18" s="208">
        <v>0</v>
      </c>
      <c r="F18" s="208">
        <v>0.73</v>
      </c>
      <c r="G18" s="208">
        <v>3.38</v>
      </c>
      <c r="H18" s="208">
        <v>3.26</v>
      </c>
      <c r="I18" s="208">
        <v>1.89</v>
      </c>
      <c r="J18" s="208">
        <v>1477</v>
      </c>
      <c r="K18" s="208">
        <v>453</v>
      </c>
      <c r="L18" s="141">
        <f t="shared" si="8"/>
        <v>-3.4969325153371145E-3</v>
      </c>
      <c r="N18" s="141">
        <f t="shared" si="2"/>
        <v>0.59999999999996589</v>
      </c>
      <c r="O18" s="141">
        <v>120</v>
      </c>
      <c r="P18" s="208">
        <v>240</v>
      </c>
      <c r="Q18" s="141">
        <f t="shared" si="6"/>
        <v>480</v>
      </c>
      <c r="R18" s="141">
        <f t="shared" si="7"/>
        <v>926</v>
      </c>
      <c r="S18" s="141">
        <f t="shared" si="9"/>
        <v>1.819526627218935</v>
      </c>
      <c r="T18" s="141">
        <f t="shared" si="4"/>
        <v>2183.413497454258</v>
      </c>
      <c r="U18" s="141">
        <f t="shared" si="5"/>
        <v>2.5</v>
      </c>
    </row>
    <row r="19" spans="1:21">
      <c r="A19" s="208">
        <v>1</v>
      </c>
      <c r="B19" s="208">
        <v>280</v>
      </c>
      <c r="C19" s="208">
        <v>5.77</v>
      </c>
      <c r="D19" s="208">
        <v>8.5500000000000007</v>
      </c>
      <c r="E19" s="208">
        <v>0</v>
      </c>
      <c r="F19" s="208">
        <v>0.67</v>
      </c>
      <c r="G19" s="208">
        <v>3.47</v>
      </c>
      <c r="H19" s="208">
        <v>3.31</v>
      </c>
      <c r="I19" s="208">
        <v>1.74</v>
      </c>
      <c r="J19" s="208">
        <v>1615</v>
      </c>
      <c r="K19" s="208">
        <v>488</v>
      </c>
      <c r="L19" s="141">
        <f t="shared" si="8"/>
        <v>3.2024169184288187E-3</v>
      </c>
      <c r="N19" s="141">
        <f t="shared" si="2"/>
        <v>-0.80000000000001137</v>
      </c>
      <c r="O19" s="141">
        <v>216</v>
      </c>
      <c r="P19" s="208">
        <v>280</v>
      </c>
      <c r="Q19" s="141">
        <f t="shared" si="6"/>
        <v>696</v>
      </c>
      <c r="R19" s="141">
        <f t="shared" si="7"/>
        <v>1206</v>
      </c>
      <c r="S19" s="141">
        <f t="shared" si="9"/>
        <v>1.6628242074927952</v>
      </c>
      <c r="T19" s="141">
        <f t="shared" si="4"/>
        <v>2649.0042755522409</v>
      </c>
      <c r="U19" s="141">
        <f t="shared" si="5"/>
        <v>2.4639769452449567</v>
      </c>
    </row>
    <row r="20" spans="1:21">
      <c r="A20" s="208">
        <v>2</v>
      </c>
      <c r="B20" s="208">
        <v>320</v>
      </c>
      <c r="C20" s="208">
        <v>5.38</v>
      </c>
      <c r="D20" s="208">
        <v>8.65</v>
      </c>
      <c r="E20" s="208">
        <v>0</v>
      </c>
      <c r="F20" s="208">
        <v>0.62</v>
      </c>
      <c r="G20" s="208">
        <v>3.56</v>
      </c>
      <c r="H20" s="208">
        <v>3.35</v>
      </c>
      <c r="I20" s="208">
        <v>1.61</v>
      </c>
      <c r="J20" s="208">
        <v>1723</v>
      </c>
      <c r="K20" s="208">
        <v>514</v>
      </c>
      <c r="L20" s="141">
        <f t="shared" si="8"/>
        <v>-4.029850746268826E-3</v>
      </c>
      <c r="N20" s="141">
        <f t="shared" si="2"/>
        <v>1.2000000000000455</v>
      </c>
      <c r="O20" s="141">
        <v>432</v>
      </c>
      <c r="P20" s="208">
        <v>320</v>
      </c>
      <c r="Q20" s="141">
        <f t="shared" si="6"/>
        <v>1128</v>
      </c>
      <c r="R20" s="141">
        <f t="shared" si="7"/>
        <v>1526</v>
      </c>
      <c r="S20" s="141">
        <f t="shared" si="9"/>
        <v>1.5112359550561798</v>
      </c>
      <c r="T20" s="141">
        <f t="shared" si="4"/>
        <v>3132.5997811702182</v>
      </c>
      <c r="U20" s="141">
        <f t="shared" si="5"/>
        <v>2.4297752808988764</v>
      </c>
    </row>
    <row r="21" spans="1:21">
      <c r="A21" s="208">
        <v>3</v>
      </c>
      <c r="B21" s="208">
        <v>357</v>
      </c>
      <c r="C21" s="208">
        <v>5</v>
      </c>
      <c r="D21" s="208">
        <v>8.74</v>
      </c>
      <c r="E21" s="208">
        <v>0</v>
      </c>
      <c r="F21" s="208">
        <v>0.56999999999999995</v>
      </c>
      <c r="G21" s="208">
        <v>3.64</v>
      </c>
      <c r="H21" s="208">
        <v>3.39</v>
      </c>
      <c r="I21" s="208">
        <v>1.47</v>
      </c>
      <c r="J21" s="208">
        <v>1785</v>
      </c>
      <c r="K21" s="208">
        <v>527</v>
      </c>
      <c r="L21" s="141">
        <f t="shared" si="8"/>
        <v>4.9262536873155849E-3</v>
      </c>
      <c r="N21" s="141">
        <f t="shared" si="2"/>
        <v>-2.2100000000000364</v>
      </c>
      <c r="O21" s="141">
        <v>408</v>
      </c>
      <c r="P21" s="208">
        <v>357</v>
      </c>
      <c r="Q21" s="141">
        <f t="shared" si="6"/>
        <v>1536</v>
      </c>
      <c r="R21" s="141">
        <f t="shared" si="7"/>
        <v>1883</v>
      </c>
      <c r="S21" s="141">
        <f t="shared" si="9"/>
        <v>1.3736263736263736</v>
      </c>
      <c r="T21" s="141">
        <f t="shared" si="4"/>
        <v>3622.9843965548334</v>
      </c>
      <c r="U21" s="141">
        <f t="shared" si="5"/>
        <v>2.401098901098901</v>
      </c>
    </row>
    <row r="22" spans="1:21">
      <c r="A22" s="208">
        <v>4</v>
      </c>
      <c r="B22" s="208">
        <v>356</v>
      </c>
      <c r="C22" s="208">
        <v>4.62</v>
      </c>
      <c r="D22" s="208">
        <v>8.84</v>
      </c>
      <c r="E22" s="208">
        <v>0</v>
      </c>
      <c r="F22" s="208">
        <v>0.52</v>
      </c>
      <c r="G22" s="208">
        <v>3.73</v>
      </c>
      <c r="H22" s="208">
        <v>3.42</v>
      </c>
      <c r="I22" s="208">
        <v>1.35</v>
      </c>
      <c r="J22" s="208">
        <v>1643</v>
      </c>
      <c r="K22" s="208">
        <v>481</v>
      </c>
      <c r="L22" s="141">
        <f t="shared" si="8"/>
        <v>8.7719298245603206E-4</v>
      </c>
      <c r="N22" s="141">
        <f t="shared" si="2"/>
        <v>-0.39999999999997726</v>
      </c>
      <c r="O22" s="141">
        <v>504</v>
      </c>
      <c r="P22" s="208">
        <v>356</v>
      </c>
      <c r="Q22" s="141">
        <f t="shared" si="6"/>
        <v>2040</v>
      </c>
      <c r="R22" s="141">
        <f t="shared" si="7"/>
        <v>2239</v>
      </c>
      <c r="S22" s="141">
        <f t="shared" si="9"/>
        <v>1.2386058981233243</v>
      </c>
      <c r="T22" s="141">
        <f t="shared" si="4"/>
        <v>4063.9280962867369</v>
      </c>
      <c r="U22" s="141">
        <f t="shared" si="5"/>
        <v>2.3699731903485253</v>
      </c>
    </row>
    <row r="23" spans="1:21">
      <c r="A23" s="208">
        <v>5</v>
      </c>
      <c r="B23" s="208">
        <v>303</v>
      </c>
      <c r="C23" s="208">
        <v>4.2300000000000004</v>
      </c>
      <c r="D23" s="208">
        <v>8.94</v>
      </c>
      <c r="E23" s="208">
        <v>0</v>
      </c>
      <c r="F23" s="208">
        <v>0.47</v>
      </c>
      <c r="G23" s="208">
        <v>3.82</v>
      </c>
      <c r="H23" s="208">
        <v>3.44</v>
      </c>
      <c r="I23" s="208">
        <v>1.23</v>
      </c>
      <c r="J23" s="208">
        <v>1282</v>
      </c>
      <c r="K23" s="208">
        <v>373</v>
      </c>
      <c r="L23" s="141">
        <f t="shared" si="8"/>
        <v>-3.4883720930212192E-4</v>
      </c>
      <c r="N23" s="141">
        <f t="shared" si="2"/>
        <v>-0.31000000000000227</v>
      </c>
      <c r="O23" s="141">
        <v>384</v>
      </c>
      <c r="P23" s="208">
        <v>303</v>
      </c>
      <c r="Q23" s="141">
        <f t="shared" si="6"/>
        <v>2424</v>
      </c>
      <c r="R23" s="141">
        <f t="shared" si="7"/>
        <v>2542</v>
      </c>
      <c r="S23" s="141">
        <f t="shared" si="9"/>
        <v>1.1073298429319374</v>
      </c>
      <c r="T23" s="141">
        <f t="shared" si="4"/>
        <v>4399.4490386951138</v>
      </c>
      <c r="U23" s="141">
        <f t="shared" si="5"/>
        <v>2.3403141361256545</v>
      </c>
    </row>
    <row r="24" spans="1:21">
      <c r="A24" s="208">
        <v>6</v>
      </c>
      <c r="B24" s="208">
        <v>330</v>
      </c>
      <c r="C24" s="208">
        <v>3.85</v>
      </c>
      <c r="D24" s="208">
        <v>9.0299999999999994</v>
      </c>
      <c r="E24" s="208">
        <v>0</v>
      </c>
      <c r="F24" s="208">
        <v>0.43</v>
      </c>
      <c r="G24" s="208">
        <v>3.91</v>
      </c>
      <c r="H24" s="208">
        <v>3.44</v>
      </c>
      <c r="I24" s="208">
        <v>1.1200000000000001</v>
      </c>
      <c r="J24" s="208">
        <v>1269</v>
      </c>
      <c r="K24" s="208">
        <v>369</v>
      </c>
      <c r="L24" s="141">
        <f t="shared" si="8"/>
        <v>-8.1395348837220993E-4</v>
      </c>
      <c r="N24" s="141">
        <f t="shared" si="2"/>
        <v>0.60000000000002274</v>
      </c>
      <c r="O24" s="141">
        <v>456</v>
      </c>
      <c r="P24" s="208">
        <v>330</v>
      </c>
      <c r="Q24" s="141">
        <f t="shared" si="6"/>
        <v>2880</v>
      </c>
      <c r="R24" s="141">
        <f t="shared" si="7"/>
        <v>2872</v>
      </c>
      <c r="S24" s="141">
        <f t="shared" si="9"/>
        <v>0.98465473145780047</v>
      </c>
      <c r="T24" s="141">
        <f t="shared" si="4"/>
        <v>4724.3851000761879</v>
      </c>
      <c r="U24" s="141">
        <f t="shared" si="5"/>
        <v>2.3094629156010229</v>
      </c>
    </row>
    <row r="25" spans="1:21">
      <c r="A25" s="208">
        <v>7</v>
      </c>
      <c r="B25" s="208">
        <v>326</v>
      </c>
      <c r="C25" s="208">
        <v>3.46</v>
      </c>
      <c r="D25" s="208">
        <v>9.1300000000000008</v>
      </c>
      <c r="E25" s="208">
        <v>0</v>
      </c>
      <c r="F25" s="208">
        <v>0.38</v>
      </c>
      <c r="G25" s="208">
        <v>4</v>
      </c>
      <c r="H25" s="208">
        <v>3.43</v>
      </c>
      <c r="I25" s="208">
        <v>1.01</v>
      </c>
      <c r="J25" s="208">
        <v>1128</v>
      </c>
      <c r="K25" s="208">
        <v>329</v>
      </c>
      <c r="L25" s="141">
        <f t="shared" si="8"/>
        <v>-1.2536443148689624E-3</v>
      </c>
      <c r="N25" s="141">
        <f t="shared" si="2"/>
        <v>0.25999999999999091</v>
      </c>
      <c r="O25" s="141">
        <v>360</v>
      </c>
      <c r="P25" s="208">
        <v>326</v>
      </c>
      <c r="Q25" s="141">
        <f t="shared" si="6"/>
        <v>3240</v>
      </c>
      <c r="R25" s="141">
        <f t="shared" si="7"/>
        <v>3198</v>
      </c>
      <c r="S25" s="141">
        <f t="shared" si="9"/>
        <v>0.86499999999999999</v>
      </c>
      <c r="T25" s="141">
        <f t="shared" si="4"/>
        <v>5006.3751000761877</v>
      </c>
      <c r="U25" s="141">
        <f t="shared" si="5"/>
        <v>2.2825000000000002</v>
      </c>
    </row>
    <row r="26" spans="1:21">
      <c r="A26" s="208">
        <v>8</v>
      </c>
      <c r="B26" s="208">
        <v>348</v>
      </c>
      <c r="C26" s="208">
        <v>3.08</v>
      </c>
      <c r="D26" s="208">
        <v>9.23</v>
      </c>
      <c r="E26" s="208">
        <v>0</v>
      </c>
      <c r="F26" s="208">
        <v>0.33</v>
      </c>
      <c r="G26" s="208">
        <v>4.08</v>
      </c>
      <c r="H26" s="208">
        <v>3.4</v>
      </c>
      <c r="I26" s="208">
        <v>0.9</v>
      </c>
      <c r="J26" s="208">
        <v>1071</v>
      </c>
      <c r="K26" s="208">
        <v>315</v>
      </c>
      <c r="L26" s="141">
        <f t="shared" si="8"/>
        <v>5.8823529411764497E-3</v>
      </c>
      <c r="N26" s="141">
        <f t="shared" si="2"/>
        <v>-1.8000000000000114</v>
      </c>
      <c r="O26" s="141">
        <v>144</v>
      </c>
      <c r="P26" s="208">
        <v>348</v>
      </c>
      <c r="Q26" s="141">
        <f t="shared" si="6"/>
        <v>3384</v>
      </c>
      <c r="R26" s="141">
        <f t="shared" si="7"/>
        <v>3546</v>
      </c>
      <c r="S26" s="141">
        <f t="shared" si="9"/>
        <v>0.75490196078431371</v>
      </c>
      <c r="T26" s="141">
        <f t="shared" si="4"/>
        <v>5269.0809824291291</v>
      </c>
      <c r="U26" s="141">
        <f t="shared" si="5"/>
        <v>2.2622549019607843</v>
      </c>
    </row>
    <row r="27" spans="1:21">
      <c r="A27" s="208">
        <v>9</v>
      </c>
      <c r="B27" s="208">
        <v>335</v>
      </c>
      <c r="C27" s="208">
        <v>2.69</v>
      </c>
      <c r="D27" s="208">
        <v>9.32</v>
      </c>
      <c r="E27" s="208">
        <v>0</v>
      </c>
      <c r="F27" s="208">
        <v>0.28999999999999998</v>
      </c>
      <c r="G27" s="208">
        <v>4.17</v>
      </c>
      <c r="H27" s="208">
        <v>3.35</v>
      </c>
      <c r="I27" s="208">
        <v>0.8</v>
      </c>
      <c r="J27" s="208">
        <v>902</v>
      </c>
      <c r="K27" s="208">
        <v>269</v>
      </c>
      <c r="L27" s="141">
        <f t="shared" si="8"/>
        <v>2.9850746268655914E-3</v>
      </c>
      <c r="N27" s="141">
        <f t="shared" si="2"/>
        <v>-1</v>
      </c>
      <c r="O27" s="141">
        <v>480</v>
      </c>
      <c r="P27" s="208">
        <v>335</v>
      </c>
      <c r="Q27" s="141">
        <f t="shared" si="6"/>
        <v>3864</v>
      </c>
      <c r="R27" s="141">
        <f t="shared" si="7"/>
        <v>3881</v>
      </c>
      <c r="S27" s="141">
        <f t="shared" si="9"/>
        <v>0.64508393285371701</v>
      </c>
      <c r="T27" s="141">
        <f t="shared" si="4"/>
        <v>5485.1840999351243</v>
      </c>
      <c r="U27" s="141">
        <f t="shared" si="5"/>
        <v>2.2350119904076742</v>
      </c>
    </row>
    <row r="28" spans="1:21">
      <c r="A28" s="208">
        <v>10</v>
      </c>
      <c r="B28" s="208">
        <v>315</v>
      </c>
      <c r="C28" s="208">
        <v>2.31</v>
      </c>
      <c r="D28" s="208">
        <v>9.42</v>
      </c>
      <c r="E28" s="208">
        <v>0</v>
      </c>
      <c r="F28" s="208">
        <v>0.24</v>
      </c>
      <c r="G28" s="208">
        <v>4.26</v>
      </c>
      <c r="H28" s="208">
        <v>3.26</v>
      </c>
      <c r="I28" s="208">
        <v>0.71</v>
      </c>
      <c r="J28" s="208">
        <v>727</v>
      </c>
      <c r="K28" s="208">
        <v>223</v>
      </c>
      <c r="L28" s="141">
        <f t="shared" si="8"/>
        <v>-1.4110429447852235E-3</v>
      </c>
      <c r="N28" s="141">
        <f t="shared" si="2"/>
        <v>0.64999999999997726</v>
      </c>
      <c r="O28" s="141">
        <v>408</v>
      </c>
      <c r="P28" s="208">
        <v>315</v>
      </c>
      <c r="Q28" s="141">
        <f t="shared" si="6"/>
        <v>4272</v>
      </c>
      <c r="R28" s="141">
        <f t="shared" si="7"/>
        <v>4196</v>
      </c>
      <c r="S28" s="141">
        <f t="shared" si="9"/>
        <v>0.54225352112676062</v>
      </c>
      <c r="T28" s="141">
        <f t="shared" si="4"/>
        <v>5655.993959090054</v>
      </c>
      <c r="U28" s="141">
        <f t="shared" si="5"/>
        <v>2.211267605633803</v>
      </c>
    </row>
    <row r="29" spans="1:21">
      <c r="A29" s="208">
        <v>11</v>
      </c>
      <c r="B29" s="208">
        <v>215</v>
      </c>
      <c r="C29" s="208">
        <v>1.92</v>
      </c>
      <c r="D29" s="208">
        <v>9.52</v>
      </c>
      <c r="E29" s="208">
        <v>0</v>
      </c>
      <c r="F29" s="208">
        <v>0.2</v>
      </c>
      <c r="G29" s="208">
        <v>4.3499999999999996</v>
      </c>
      <c r="H29" s="208">
        <v>3.12</v>
      </c>
      <c r="I29" s="208">
        <v>0.62</v>
      </c>
      <c r="J29" s="208">
        <v>413</v>
      </c>
      <c r="K29" s="208">
        <v>133</v>
      </c>
      <c r="L29" s="141">
        <f t="shared" si="8"/>
        <v>-4.6153846153846878E-3</v>
      </c>
      <c r="N29" s="141">
        <f t="shared" si="2"/>
        <v>0.30000000000001137</v>
      </c>
      <c r="O29" s="141">
        <v>216</v>
      </c>
      <c r="P29" s="208">
        <v>215</v>
      </c>
      <c r="Q29" s="141">
        <f t="shared" si="6"/>
        <v>4488</v>
      </c>
      <c r="R29" s="141">
        <f t="shared" si="7"/>
        <v>4411</v>
      </c>
      <c r="S29" s="141">
        <f t="shared" si="9"/>
        <v>0.44137931034482758</v>
      </c>
      <c r="T29" s="141">
        <f t="shared" si="4"/>
        <v>5750.8905108141917</v>
      </c>
      <c r="U29" s="141">
        <f t="shared" si="5"/>
        <v>2.1885057471264369</v>
      </c>
    </row>
    <row r="30" spans="1:21">
      <c r="A30" s="208">
        <v>12</v>
      </c>
      <c r="B30" s="208">
        <v>169</v>
      </c>
      <c r="C30" s="208">
        <v>1.54</v>
      </c>
      <c r="D30" s="208">
        <v>9.61</v>
      </c>
      <c r="E30" s="208">
        <v>0</v>
      </c>
      <c r="F30" s="208">
        <v>0.16</v>
      </c>
      <c r="G30" s="208">
        <v>4.4400000000000004</v>
      </c>
      <c r="H30" s="208">
        <v>2.91</v>
      </c>
      <c r="I30" s="208">
        <v>0.53</v>
      </c>
      <c r="J30" s="208">
        <v>260</v>
      </c>
      <c r="K30" s="208">
        <v>89</v>
      </c>
      <c r="L30" s="141">
        <f t="shared" si="8"/>
        <v>-7.9037800687287163E-4</v>
      </c>
      <c r="N30" s="141">
        <f t="shared" si="2"/>
        <v>0.57000000000000739</v>
      </c>
      <c r="O30" s="141">
        <v>288</v>
      </c>
      <c r="P30" s="208">
        <v>169</v>
      </c>
      <c r="Q30" s="141">
        <f t="shared" si="6"/>
        <v>4776</v>
      </c>
      <c r="R30" s="141">
        <f t="shared" si="7"/>
        <v>4580</v>
      </c>
      <c r="S30" s="141">
        <f t="shared" si="9"/>
        <v>0.3468468468468468</v>
      </c>
      <c r="T30" s="141">
        <f t="shared" si="4"/>
        <v>5809.5076279313089</v>
      </c>
      <c r="U30" s="141">
        <f t="shared" si="5"/>
        <v>2.1644144144144142</v>
      </c>
    </row>
    <row r="31" spans="1:21">
      <c r="A31" s="208">
        <v>13</v>
      </c>
      <c r="B31" s="208">
        <v>151</v>
      </c>
      <c r="C31" s="208">
        <v>1.1499999999999999</v>
      </c>
      <c r="D31" s="208">
        <v>9.7100000000000009</v>
      </c>
      <c r="E31" s="208">
        <v>0</v>
      </c>
      <c r="F31" s="208">
        <v>0.12</v>
      </c>
      <c r="G31" s="208">
        <v>4.5199999999999996</v>
      </c>
      <c r="H31" s="208">
        <v>2.6</v>
      </c>
      <c r="I31" s="208">
        <v>0.44</v>
      </c>
      <c r="J31" s="208">
        <v>174</v>
      </c>
      <c r="K31" s="208">
        <v>67</v>
      </c>
      <c r="L31" s="141">
        <f t="shared" si="8"/>
        <v>2.3076923076922329E-3</v>
      </c>
      <c r="N31" s="141">
        <f t="shared" si="2"/>
        <v>-0.56000000000000227</v>
      </c>
      <c r="O31" s="141">
        <v>288</v>
      </c>
      <c r="P31" s="208">
        <v>151</v>
      </c>
      <c r="Q31" s="141">
        <f t="shared" si="6"/>
        <v>5064</v>
      </c>
      <c r="R31" s="141">
        <f t="shared" si="7"/>
        <v>4731</v>
      </c>
      <c r="S31" s="141">
        <f t="shared" si="9"/>
        <v>0.25442477876106195</v>
      </c>
      <c r="T31" s="141">
        <f t="shared" si="4"/>
        <v>5847.9257695242295</v>
      </c>
      <c r="U31" s="141">
        <f t="shared" si="5"/>
        <v>2.1482300884955756</v>
      </c>
    </row>
    <row r="32" spans="1:21">
      <c r="A32" s="208">
        <v>14</v>
      </c>
      <c r="B32" s="208">
        <v>105</v>
      </c>
      <c r="C32" s="208">
        <v>0.77</v>
      </c>
      <c r="D32" s="208">
        <v>9.81</v>
      </c>
      <c r="E32" s="208">
        <v>0</v>
      </c>
      <c r="F32" s="208">
        <v>0.08</v>
      </c>
      <c r="G32" s="208">
        <v>4.6100000000000003</v>
      </c>
      <c r="H32" s="208">
        <v>2.12</v>
      </c>
      <c r="I32" s="208">
        <v>0.36</v>
      </c>
      <c r="J32" s="208">
        <v>81</v>
      </c>
      <c r="K32" s="208">
        <v>38</v>
      </c>
      <c r="L32" s="141">
        <f t="shared" si="8"/>
        <v>3.2075471698113089E-3</v>
      </c>
      <c r="N32" s="141">
        <f t="shared" si="2"/>
        <v>-0.20000000000000284</v>
      </c>
      <c r="O32" s="141">
        <v>360</v>
      </c>
      <c r="P32" s="208">
        <v>105</v>
      </c>
      <c r="Q32" s="141">
        <f t="shared" si="6"/>
        <v>5424</v>
      </c>
      <c r="R32" s="141">
        <f t="shared" si="7"/>
        <v>4836</v>
      </c>
      <c r="S32" s="141">
        <f t="shared" si="9"/>
        <v>0.16702819956616052</v>
      </c>
      <c r="T32" s="141">
        <f t="shared" si="4"/>
        <v>5865.4637304786766</v>
      </c>
      <c r="U32" s="141">
        <f t="shared" si="5"/>
        <v>2.1279826464208242</v>
      </c>
    </row>
    <row r="33" spans="1:21">
      <c r="A33" s="208">
        <v>15</v>
      </c>
      <c r="B33" s="208">
        <v>74</v>
      </c>
      <c r="C33" s="208">
        <v>0.38</v>
      </c>
      <c r="D33" s="208">
        <v>9.9</v>
      </c>
      <c r="E33" s="208">
        <v>0</v>
      </c>
      <c r="F33" s="208">
        <v>0.04</v>
      </c>
      <c r="G33" s="208">
        <v>4.7</v>
      </c>
      <c r="H33" s="208">
        <v>1.35</v>
      </c>
      <c r="I33" s="208">
        <v>0.28000000000000003</v>
      </c>
      <c r="J33" s="208">
        <v>28</v>
      </c>
      <c r="K33" s="208">
        <v>21</v>
      </c>
      <c r="L33" s="141">
        <f t="shared" si="8"/>
        <v>1.481481481481417E-3</v>
      </c>
      <c r="N33" s="141">
        <f t="shared" si="2"/>
        <v>-0.27999999999999758</v>
      </c>
      <c r="O33" s="141">
        <v>360</v>
      </c>
      <c r="P33" s="208">
        <v>74</v>
      </c>
      <c r="Q33" s="141">
        <f t="shared" si="6"/>
        <v>5784</v>
      </c>
      <c r="R33" s="141">
        <f t="shared" si="7"/>
        <v>4910</v>
      </c>
      <c r="S33" s="141">
        <f t="shared" si="9"/>
        <v>8.0851063829787226E-2</v>
      </c>
      <c r="T33" s="141">
        <f t="shared" si="4"/>
        <v>5871.4467092020805</v>
      </c>
      <c r="U33" s="141">
        <f t="shared" si="5"/>
        <v>2.1063829787234041</v>
      </c>
    </row>
    <row r="34" spans="1:21" ht="15" customHeight="1">
      <c r="J34" s="141">
        <f>SUM(J8:J33)</f>
        <v>20652</v>
      </c>
      <c r="K34" s="141">
        <f>SUM(K8:K33)</f>
        <v>6455</v>
      </c>
      <c r="O34" s="141">
        <v>144</v>
      </c>
      <c r="T34" s="141">
        <v>6455.4073398636801</v>
      </c>
    </row>
    <row r="35" spans="1:21">
      <c r="J35" s="208">
        <v>20656</v>
      </c>
      <c r="K35" s="208">
        <v>6454</v>
      </c>
      <c r="L35" s="143">
        <f>J35/K35</f>
        <v>3.2004958165478774</v>
      </c>
      <c r="M35" s="143" t="s">
        <v>1555</v>
      </c>
      <c r="O35" s="141">
        <v>240</v>
      </c>
      <c r="T35" s="141">
        <f>J34/T34</f>
        <v>3.1991784426164673</v>
      </c>
    </row>
    <row r="36" spans="1:21">
      <c r="A36" s="206">
        <v>10</v>
      </c>
      <c r="H36" s="141">
        <f>I36+A36*J36</f>
        <v>4.3</v>
      </c>
      <c r="I36" s="207">
        <v>3.4</v>
      </c>
      <c r="J36" s="207">
        <v>0.09</v>
      </c>
      <c r="T36" s="141">
        <f>J34/T33</f>
        <v>3.5173613970868471</v>
      </c>
      <c r="U36" s="141">
        <f>T35/T36</f>
        <v>0.90953930559029117</v>
      </c>
    </row>
    <row r="37" spans="1:21">
      <c r="A37" s="206">
        <v>0</v>
      </c>
      <c r="C37" s="141" t="s">
        <v>1554</v>
      </c>
      <c r="H37" s="141">
        <f>I37+A37*J37</f>
        <v>3.4</v>
      </c>
      <c r="I37" s="141">
        <f>I36</f>
        <v>3.4</v>
      </c>
      <c r="J37" s="141">
        <f>J36</f>
        <v>0.09</v>
      </c>
      <c r="O37" s="141" t="s">
        <v>1553</v>
      </c>
    </row>
    <row r="38" spans="1:21">
      <c r="K38" s="141">
        <f>D33/G33</f>
        <v>2.1063829787234041</v>
      </c>
      <c r="L38" s="141" t="s">
        <v>1552</v>
      </c>
      <c r="O38" s="141" t="s">
        <v>1551</v>
      </c>
    </row>
    <row r="39" spans="1:21">
      <c r="K39" s="141">
        <f>D8/G8</f>
        <v>2.992</v>
      </c>
      <c r="L39" s="141" t="s">
        <v>1550</v>
      </c>
    </row>
    <row r="40" spans="1:21">
      <c r="A40" s="141" t="s">
        <v>1404</v>
      </c>
      <c r="B40" s="141" t="s">
        <v>1549</v>
      </c>
    </row>
    <row r="41" spans="1:21">
      <c r="A41" s="142">
        <v>44242</v>
      </c>
      <c r="B41" s="149">
        <v>-11.5</v>
      </c>
      <c r="C41" s="141">
        <f t="shared" ref="C41:C104" si="10">ROUND(B41,0)</f>
        <v>-12</v>
      </c>
      <c r="D41" s="141">
        <f t="shared" ref="D41:D104" si="11">IF(C41=C40,D40+1,1)</f>
        <v>1</v>
      </c>
      <c r="E41" s="141">
        <v>-12</v>
      </c>
      <c r="F41" s="141">
        <v>1</v>
      </c>
      <c r="G41" s="141">
        <f t="shared" ref="G41:G68" si="12">24*F41</f>
        <v>24</v>
      </c>
    </row>
    <row r="42" spans="1:21">
      <c r="A42" s="142">
        <v>44237</v>
      </c>
      <c r="B42" s="149">
        <v>-9.7000000000000028</v>
      </c>
      <c r="C42" s="141">
        <f t="shared" si="10"/>
        <v>-10</v>
      </c>
      <c r="D42" s="141">
        <f t="shared" si="11"/>
        <v>1</v>
      </c>
      <c r="E42" s="141">
        <v>-11</v>
      </c>
      <c r="F42" s="141">
        <v>0</v>
      </c>
      <c r="G42" s="141">
        <f t="shared" si="12"/>
        <v>0</v>
      </c>
    </row>
    <row r="43" spans="1:21">
      <c r="A43" s="142">
        <v>44239</v>
      </c>
      <c r="B43" s="149">
        <v>-9.1000000000000014</v>
      </c>
      <c r="C43" s="141">
        <f t="shared" si="10"/>
        <v>-9</v>
      </c>
      <c r="D43" s="141">
        <f t="shared" si="11"/>
        <v>1</v>
      </c>
      <c r="E43" s="141">
        <v>-10</v>
      </c>
      <c r="F43" s="141">
        <v>1</v>
      </c>
      <c r="G43" s="141">
        <f t="shared" si="12"/>
        <v>24</v>
      </c>
    </row>
    <row r="44" spans="1:21">
      <c r="A44" s="142">
        <v>44241</v>
      </c>
      <c r="B44" s="149">
        <v>-8.8999999999999986</v>
      </c>
      <c r="C44" s="141">
        <f t="shared" si="10"/>
        <v>-9</v>
      </c>
      <c r="D44" s="141">
        <f t="shared" si="11"/>
        <v>2</v>
      </c>
      <c r="E44" s="141">
        <v>-9</v>
      </c>
      <c r="F44" s="141">
        <v>2</v>
      </c>
      <c r="G44" s="141">
        <f t="shared" si="12"/>
        <v>48</v>
      </c>
    </row>
    <row r="45" spans="1:21">
      <c r="A45" s="142">
        <v>44236</v>
      </c>
      <c r="B45" s="149">
        <v>-8</v>
      </c>
      <c r="C45" s="141">
        <f t="shared" si="10"/>
        <v>-8</v>
      </c>
      <c r="D45" s="141">
        <f t="shared" si="11"/>
        <v>1</v>
      </c>
      <c r="E45" s="141">
        <v>-8</v>
      </c>
      <c r="F45" s="141">
        <v>1</v>
      </c>
      <c r="G45" s="141">
        <f t="shared" si="12"/>
        <v>24</v>
      </c>
    </row>
    <row r="46" spans="1:21">
      <c r="A46" s="142">
        <v>44238</v>
      </c>
      <c r="B46" s="149">
        <v>-7.3999999999999986</v>
      </c>
      <c r="C46" s="141">
        <f t="shared" si="10"/>
        <v>-7</v>
      </c>
      <c r="D46" s="141">
        <f t="shared" si="11"/>
        <v>1</v>
      </c>
      <c r="E46" s="141">
        <v>-7</v>
      </c>
      <c r="F46" s="141">
        <v>3</v>
      </c>
      <c r="G46" s="141">
        <f t="shared" si="12"/>
        <v>72</v>
      </c>
    </row>
    <row r="47" spans="1:21">
      <c r="A47" s="142">
        <v>44240</v>
      </c>
      <c r="B47" s="149">
        <v>-7.2999999999999972</v>
      </c>
      <c r="C47" s="141">
        <f t="shared" si="10"/>
        <v>-7</v>
      </c>
      <c r="D47" s="141">
        <f t="shared" si="11"/>
        <v>2</v>
      </c>
      <c r="E47" s="141">
        <v>-6</v>
      </c>
      <c r="F47" s="141">
        <v>0</v>
      </c>
      <c r="G47" s="141">
        <f t="shared" si="12"/>
        <v>0</v>
      </c>
    </row>
    <row r="48" spans="1:21">
      <c r="A48" s="142">
        <v>44235</v>
      </c>
      <c r="B48" s="149">
        <v>-7</v>
      </c>
      <c r="C48" s="141">
        <f t="shared" si="10"/>
        <v>-7</v>
      </c>
      <c r="D48" s="141">
        <f t="shared" si="11"/>
        <v>3</v>
      </c>
      <c r="E48" s="141">
        <v>-5</v>
      </c>
      <c r="F48" s="141">
        <v>2</v>
      </c>
      <c r="G48" s="141">
        <f t="shared" si="12"/>
        <v>48</v>
      </c>
    </row>
    <row r="49" spans="1:7">
      <c r="A49" s="142">
        <v>44213</v>
      </c>
      <c r="B49" s="149">
        <v>-4.5</v>
      </c>
      <c r="C49" s="141">
        <f t="shared" si="10"/>
        <v>-5</v>
      </c>
      <c r="D49" s="141">
        <f t="shared" si="11"/>
        <v>1</v>
      </c>
      <c r="E49" s="141">
        <v>-4</v>
      </c>
      <c r="F49" s="141">
        <v>2</v>
      </c>
      <c r="G49" s="141">
        <f t="shared" si="12"/>
        <v>48</v>
      </c>
    </row>
    <row r="50" spans="1:7">
      <c r="A50" s="142">
        <v>44234</v>
      </c>
      <c r="B50" s="149">
        <v>-4.5</v>
      </c>
      <c r="C50" s="141">
        <f t="shared" si="10"/>
        <v>-5</v>
      </c>
      <c r="D50" s="141">
        <f t="shared" si="11"/>
        <v>2</v>
      </c>
      <c r="E50" s="141">
        <v>-3</v>
      </c>
      <c r="F50" s="141">
        <v>3</v>
      </c>
      <c r="G50" s="141">
        <f t="shared" si="12"/>
        <v>72</v>
      </c>
    </row>
    <row r="51" spans="1:7">
      <c r="A51" s="142">
        <v>44212</v>
      </c>
      <c r="B51" s="149">
        <v>-4.3999999999999986</v>
      </c>
      <c r="C51" s="141">
        <f t="shared" si="10"/>
        <v>-4</v>
      </c>
      <c r="D51" s="141">
        <f t="shared" si="11"/>
        <v>1</v>
      </c>
      <c r="E51" s="141">
        <v>-2</v>
      </c>
      <c r="F51" s="141">
        <v>5</v>
      </c>
      <c r="G51" s="141">
        <f t="shared" si="12"/>
        <v>120</v>
      </c>
    </row>
    <row r="52" spans="1:7">
      <c r="A52" s="142">
        <v>44227</v>
      </c>
      <c r="B52" s="149">
        <v>-3.5</v>
      </c>
      <c r="C52" s="141">
        <f t="shared" si="10"/>
        <v>-4</v>
      </c>
      <c r="D52" s="141">
        <f t="shared" si="11"/>
        <v>2</v>
      </c>
      <c r="E52" s="141">
        <v>-1</v>
      </c>
      <c r="F52" s="141">
        <v>9</v>
      </c>
      <c r="G52" s="141">
        <f t="shared" si="12"/>
        <v>216</v>
      </c>
    </row>
    <row r="53" spans="1:7">
      <c r="A53" s="142">
        <v>44207</v>
      </c>
      <c r="B53" s="149">
        <v>-2.8999999999999986</v>
      </c>
      <c r="C53" s="141">
        <f t="shared" si="10"/>
        <v>-3</v>
      </c>
      <c r="D53" s="141">
        <f t="shared" si="11"/>
        <v>1</v>
      </c>
      <c r="E53" s="141">
        <v>0</v>
      </c>
      <c r="F53" s="141">
        <v>18</v>
      </c>
      <c r="G53" s="141">
        <f t="shared" si="12"/>
        <v>432</v>
      </c>
    </row>
    <row r="54" spans="1:7">
      <c r="A54" s="142">
        <v>44228</v>
      </c>
      <c r="B54" s="149">
        <v>-2.5</v>
      </c>
      <c r="C54" s="141">
        <f t="shared" si="10"/>
        <v>-3</v>
      </c>
      <c r="D54" s="141">
        <f t="shared" si="11"/>
        <v>2</v>
      </c>
      <c r="E54" s="141">
        <v>1</v>
      </c>
      <c r="F54" s="141">
        <v>17</v>
      </c>
      <c r="G54" s="141">
        <f t="shared" si="12"/>
        <v>408</v>
      </c>
    </row>
    <row r="55" spans="1:7">
      <c r="A55" s="142">
        <v>44243</v>
      </c>
      <c r="B55" s="149">
        <v>-2.5</v>
      </c>
      <c r="C55" s="141">
        <f t="shared" si="10"/>
        <v>-3</v>
      </c>
      <c r="D55" s="141">
        <f t="shared" si="11"/>
        <v>3</v>
      </c>
      <c r="E55" s="141">
        <v>2</v>
      </c>
      <c r="F55" s="141">
        <v>21</v>
      </c>
      <c r="G55" s="141">
        <f t="shared" si="12"/>
        <v>504</v>
      </c>
    </row>
    <row r="56" spans="1:7">
      <c r="A56" s="142">
        <v>44275</v>
      </c>
      <c r="B56" s="149">
        <v>-2.2000000000000028</v>
      </c>
      <c r="C56" s="141">
        <f t="shared" si="10"/>
        <v>-2</v>
      </c>
      <c r="D56" s="141">
        <f t="shared" si="11"/>
        <v>1</v>
      </c>
      <c r="E56" s="141">
        <v>3</v>
      </c>
      <c r="F56" s="141">
        <v>16</v>
      </c>
      <c r="G56" s="141">
        <f t="shared" si="12"/>
        <v>384</v>
      </c>
    </row>
    <row r="57" spans="1:7">
      <c r="A57" s="142">
        <v>44214</v>
      </c>
      <c r="B57" s="149">
        <v>-2</v>
      </c>
      <c r="C57" s="141">
        <f t="shared" si="10"/>
        <v>-2</v>
      </c>
      <c r="D57" s="141">
        <f t="shared" si="11"/>
        <v>2</v>
      </c>
      <c r="E57" s="141">
        <v>4</v>
      </c>
      <c r="F57" s="141">
        <v>19</v>
      </c>
      <c r="G57" s="141">
        <f t="shared" si="12"/>
        <v>456</v>
      </c>
    </row>
    <row r="58" spans="1:7">
      <c r="A58" s="142">
        <v>44167</v>
      </c>
      <c r="B58" s="149">
        <v>-1.8000000000000007</v>
      </c>
      <c r="C58" s="141">
        <f t="shared" si="10"/>
        <v>-2</v>
      </c>
      <c r="D58" s="141">
        <f t="shared" si="11"/>
        <v>3</v>
      </c>
      <c r="E58" s="141">
        <v>5</v>
      </c>
      <c r="F58" s="141">
        <v>15</v>
      </c>
      <c r="G58" s="141">
        <f t="shared" si="12"/>
        <v>360</v>
      </c>
    </row>
    <row r="59" spans="1:7">
      <c r="A59" s="142">
        <v>44168</v>
      </c>
      <c r="B59" s="149">
        <v>-1.8000000000000007</v>
      </c>
      <c r="C59" s="141">
        <f t="shared" si="10"/>
        <v>-2</v>
      </c>
      <c r="D59" s="141">
        <f t="shared" si="11"/>
        <v>4</v>
      </c>
      <c r="E59" s="141">
        <v>6</v>
      </c>
      <c r="F59" s="141">
        <v>6</v>
      </c>
      <c r="G59" s="141">
        <f t="shared" si="12"/>
        <v>144</v>
      </c>
    </row>
    <row r="60" spans="1:7">
      <c r="A60" s="142">
        <v>44198</v>
      </c>
      <c r="B60" s="149">
        <v>-1.6999999999999993</v>
      </c>
      <c r="C60" s="141">
        <f t="shared" si="10"/>
        <v>-2</v>
      </c>
      <c r="D60" s="141">
        <f t="shared" si="11"/>
        <v>5</v>
      </c>
      <c r="E60" s="141">
        <v>7</v>
      </c>
      <c r="F60" s="141">
        <v>20</v>
      </c>
      <c r="G60" s="141">
        <f t="shared" si="12"/>
        <v>480</v>
      </c>
    </row>
    <row r="61" spans="1:7">
      <c r="A61" s="142">
        <v>44197</v>
      </c>
      <c r="B61" s="149">
        <v>-1.3999999999999986</v>
      </c>
      <c r="C61" s="141">
        <f t="shared" si="10"/>
        <v>-1</v>
      </c>
      <c r="D61" s="141">
        <f t="shared" si="11"/>
        <v>1</v>
      </c>
      <c r="E61" s="141">
        <v>8</v>
      </c>
      <c r="F61" s="141">
        <v>17</v>
      </c>
      <c r="G61" s="141">
        <f t="shared" si="12"/>
        <v>408</v>
      </c>
    </row>
    <row r="62" spans="1:7">
      <c r="A62" s="142">
        <v>44166</v>
      </c>
      <c r="B62" s="149">
        <v>-1.3000000000000007</v>
      </c>
      <c r="C62" s="141">
        <f t="shared" si="10"/>
        <v>-1</v>
      </c>
      <c r="D62" s="141">
        <f t="shared" si="11"/>
        <v>2</v>
      </c>
      <c r="E62" s="141">
        <v>9</v>
      </c>
      <c r="F62" s="141">
        <v>9</v>
      </c>
      <c r="G62" s="141">
        <f t="shared" si="12"/>
        <v>216</v>
      </c>
    </row>
    <row r="63" spans="1:7">
      <c r="A63" s="142">
        <v>44192</v>
      </c>
      <c r="B63" s="149">
        <v>-1.1999999999999993</v>
      </c>
      <c r="C63" s="141">
        <f t="shared" si="10"/>
        <v>-1</v>
      </c>
      <c r="D63" s="141">
        <f t="shared" si="11"/>
        <v>3</v>
      </c>
      <c r="E63" s="141">
        <v>10</v>
      </c>
      <c r="F63" s="141">
        <v>12</v>
      </c>
      <c r="G63" s="141">
        <f t="shared" si="12"/>
        <v>288</v>
      </c>
    </row>
    <row r="64" spans="1:7">
      <c r="A64" s="142">
        <v>44211</v>
      </c>
      <c r="B64" s="149">
        <v>-1.1000000000000014</v>
      </c>
      <c r="C64" s="141">
        <f t="shared" si="10"/>
        <v>-1</v>
      </c>
      <c r="D64" s="141">
        <f t="shared" si="11"/>
        <v>4</v>
      </c>
      <c r="E64" s="141">
        <v>11</v>
      </c>
      <c r="F64" s="141">
        <v>12</v>
      </c>
      <c r="G64" s="141">
        <f t="shared" si="12"/>
        <v>288</v>
      </c>
    </row>
    <row r="65" spans="1:7">
      <c r="A65" s="142">
        <v>44264</v>
      </c>
      <c r="B65" s="149">
        <v>-1.1000000000000014</v>
      </c>
      <c r="C65" s="141">
        <f t="shared" si="10"/>
        <v>-1</v>
      </c>
      <c r="D65" s="141">
        <f t="shared" si="11"/>
        <v>5</v>
      </c>
      <c r="E65" s="141">
        <v>12</v>
      </c>
      <c r="F65" s="141">
        <v>15</v>
      </c>
      <c r="G65" s="141">
        <f t="shared" si="12"/>
        <v>360</v>
      </c>
    </row>
    <row r="66" spans="1:7">
      <c r="A66" s="142">
        <v>44222</v>
      </c>
      <c r="B66" s="149">
        <v>-0.89999999999999858</v>
      </c>
      <c r="C66" s="141">
        <f t="shared" si="10"/>
        <v>-1</v>
      </c>
      <c r="D66" s="141">
        <f t="shared" si="11"/>
        <v>6</v>
      </c>
      <c r="E66" s="141">
        <v>13</v>
      </c>
      <c r="F66" s="141">
        <v>15</v>
      </c>
      <c r="G66" s="141">
        <f t="shared" si="12"/>
        <v>360</v>
      </c>
    </row>
    <row r="67" spans="1:7">
      <c r="A67" s="142">
        <v>44159</v>
      </c>
      <c r="B67" s="149">
        <v>-0.69999999999999929</v>
      </c>
      <c r="C67" s="141">
        <f t="shared" si="10"/>
        <v>-1</v>
      </c>
      <c r="D67" s="141">
        <f t="shared" si="11"/>
        <v>7</v>
      </c>
      <c r="E67" s="141">
        <v>14</v>
      </c>
      <c r="F67" s="141">
        <v>6</v>
      </c>
      <c r="G67" s="141">
        <f t="shared" si="12"/>
        <v>144</v>
      </c>
    </row>
    <row r="68" spans="1:7">
      <c r="A68" s="142">
        <v>44206</v>
      </c>
      <c r="B68" s="149">
        <v>-0.69999999999999929</v>
      </c>
      <c r="C68" s="141">
        <f t="shared" si="10"/>
        <v>-1</v>
      </c>
      <c r="D68" s="141">
        <f t="shared" si="11"/>
        <v>8</v>
      </c>
      <c r="E68" s="141">
        <v>15</v>
      </c>
      <c r="F68" s="141">
        <v>10</v>
      </c>
      <c r="G68" s="141">
        <f t="shared" si="12"/>
        <v>240</v>
      </c>
    </row>
    <row r="69" spans="1:7">
      <c r="A69" s="142">
        <v>44208</v>
      </c>
      <c r="B69" s="149">
        <v>-0.60000000000000142</v>
      </c>
      <c r="C69" s="141">
        <f t="shared" si="10"/>
        <v>-1</v>
      </c>
      <c r="D69" s="141">
        <f t="shared" si="11"/>
        <v>9</v>
      </c>
    </row>
    <row r="70" spans="1:7">
      <c r="A70" s="142">
        <v>44161</v>
      </c>
      <c r="B70" s="149">
        <v>-0.39999999999999858</v>
      </c>
      <c r="C70" s="141">
        <f t="shared" si="10"/>
        <v>0</v>
      </c>
      <c r="D70" s="141">
        <f t="shared" si="11"/>
        <v>1</v>
      </c>
    </row>
    <row r="71" spans="1:7">
      <c r="A71" s="142">
        <v>44205</v>
      </c>
      <c r="B71" s="149">
        <v>-0.39999999999999858</v>
      </c>
      <c r="C71" s="141">
        <f t="shared" si="10"/>
        <v>0</v>
      </c>
      <c r="D71" s="141">
        <f t="shared" si="11"/>
        <v>2</v>
      </c>
    </row>
    <row r="72" spans="1:7">
      <c r="A72" s="142">
        <v>44210</v>
      </c>
      <c r="B72" s="149">
        <v>-0.39999999999999858</v>
      </c>
      <c r="C72" s="141">
        <f t="shared" si="10"/>
        <v>0</v>
      </c>
      <c r="D72" s="141">
        <f t="shared" si="11"/>
        <v>3</v>
      </c>
    </row>
    <row r="73" spans="1:7">
      <c r="A73" s="142">
        <v>44223</v>
      </c>
      <c r="B73" s="149">
        <v>-0.30000000000000071</v>
      </c>
      <c r="C73" s="141">
        <f t="shared" si="10"/>
        <v>0</v>
      </c>
      <c r="D73" s="141">
        <f t="shared" si="11"/>
        <v>4</v>
      </c>
    </row>
    <row r="74" spans="1:7">
      <c r="A74" s="142">
        <v>44160</v>
      </c>
      <c r="B74" s="149">
        <v>-0.10000000000000142</v>
      </c>
      <c r="C74" s="141">
        <f t="shared" si="10"/>
        <v>0</v>
      </c>
      <c r="D74" s="141">
        <f t="shared" si="11"/>
        <v>5</v>
      </c>
    </row>
    <row r="75" spans="1:7">
      <c r="A75" s="142">
        <v>44162</v>
      </c>
      <c r="B75" s="149">
        <v>-0.10000000000000142</v>
      </c>
      <c r="C75" s="141">
        <f t="shared" si="10"/>
        <v>0</v>
      </c>
      <c r="D75" s="141">
        <f t="shared" si="11"/>
        <v>6</v>
      </c>
    </row>
    <row r="76" spans="1:7">
      <c r="A76" s="142">
        <v>44204</v>
      </c>
      <c r="B76" s="149">
        <v>-0.10000000000000142</v>
      </c>
      <c r="C76" s="141">
        <f t="shared" si="10"/>
        <v>0</v>
      </c>
      <c r="D76" s="141">
        <f t="shared" si="11"/>
        <v>7</v>
      </c>
    </row>
    <row r="77" spans="1:7">
      <c r="A77" s="142">
        <v>44261</v>
      </c>
      <c r="B77" s="149">
        <v>-0.10000000000000142</v>
      </c>
      <c r="C77" s="141">
        <f t="shared" si="10"/>
        <v>0</v>
      </c>
      <c r="D77" s="141">
        <f t="shared" si="11"/>
        <v>8</v>
      </c>
    </row>
    <row r="78" spans="1:7">
      <c r="A78" s="142">
        <v>44203</v>
      </c>
      <c r="B78" s="149">
        <v>0</v>
      </c>
      <c r="C78" s="141">
        <f t="shared" si="10"/>
        <v>0</v>
      </c>
      <c r="D78" s="141">
        <f t="shared" si="11"/>
        <v>9</v>
      </c>
    </row>
    <row r="79" spans="1:7">
      <c r="A79" s="142">
        <v>44233</v>
      </c>
      <c r="B79" s="149">
        <v>0.10000000000000142</v>
      </c>
      <c r="C79" s="141">
        <f t="shared" si="10"/>
        <v>0</v>
      </c>
      <c r="D79" s="141">
        <f t="shared" si="11"/>
        <v>10</v>
      </c>
    </row>
    <row r="80" spans="1:7">
      <c r="A80" s="142">
        <v>44202</v>
      </c>
      <c r="B80" s="149">
        <v>0.19999999999999929</v>
      </c>
      <c r="C80" s="141">
        <f t="shared" si="10"/>
        <v>0</v>
      </c>
      <c r="D80" s="141">
        <f t="shared" si="11"/>
        <v>11</v>
      </c>
    </row>
    <row r="81" spans="1:4">
      <c r="A81" s="142">
        <v>44292</v>
      </c>
      <c r="B81" s="149">
        <v>0.19999999999999929</v>
      </c>
      <c r="C81" s="141">
        <f t="shared" si="10"/>
        <v>0</v>
      </c>
      <c r="D81" s="141">
        <f t="shared" si="11"/>
        <v>12</v>
      </c>
    </row>
    <row r="82" spans="1:4">
      <c r="A82" s="142">
        <v>44156</v>
      </c>
      <c r="B82" s="149">
        <v>0.39999999999999858</v>
      </c>
      <c r="C82" s="141">
        <f t="shared" si="10"/>
        <v>0</v>
      </c>
      <c r="D82" s="141">
        <f t="shared" si="11"/>
        <v>13</v>
      </c>
    </row>
    <row r="83" spans="1:4">
      <c r="A83" s="142">
        <v>44191</v>
      </c>
      <c r="B83" s="149">
        <v>0.39999999999999858</v>
      </c>
      <c r="C83" s="141">
        <f t="shared" si="10"/>
        <v>0</v>
      </c>
      <c r="D83" s="141">
        <f t="shared" si="11"/>
        <v>14</v>
      </c>
    </row>
    <row r="84" spans="1:4">
      <c r="A84" s="142">
        <v>44196</v>
      </c>
      <c r="B84" s="149">
        <v>0.39999999999999858</v>
      </c>
      <c r="C84" s="141">
        <f t="shared" si="10"/>
        <v>0</v>
      </c>
      <c r="D84" s="141">
        <f t="shared" si="11"/>
        <v>15</v>
      </c>
    </row>
    <row r="85" spans="1:4">
      <c r="A85" s="142">
        <v>44257</v>
      </c>
      <c r="B85" s="149">
        <v>0.39999999999999858</v>
      </c>
      <c r="C85" s="141">
        <f t="shared" si="10"/>
        <v>0</v>
      </c>
      <c r="D85" s="141">
        <f t="shared" si="11"/>
        <v>16</v>
      </c>
    </row>
    <row r="86" spans="1:4">
      <c r="A86" s="142">
        <v>44262</v>
      </c>
      <c r="B86" s="149">
        <v>0.39999999999999858</v>
      </c>
      <c r="C86" s="141">
        <f t="shared" si="10"/>
        <v>0</v>
      </c>
      <c r="D86" s="141">
        <f t="shared" si="11"/>
        <v>17</v>
      </c>
    </row>
    <row r="87" spans="1:4">
      <c r="A87" s="142">
        <v>44263</v>
      </c>
      <c r="B87" s="149">
        <v>0.39999999999999858</v>
      </c>
      <c r="C87" s="141">
        <f t="shared" si="10"/>
        <v>0</v>
      </c>
      <c r="D87" s="141">
        <f t="shared" si="11"/>
        <v>18</v>
      </c>
    </row>
    <row r="88" spans="1:4">
      <c r="A88" s="142">
        <v>44163</v>
      </c>
      <c r="B88" s="149">
        <v>0.5</v>
      </c>
      <c r="C88" s="141">
        <f t="shared" si="10"/>
        <v>1</v>
      </c>
      <c r="D88" s="141">
        <f t="shared" si="11"/>
        <v>1</v>
      </c>
    </row>
    <row r="89" spans="1:4">
      <c r="A89" s="142">
        <v>44165</v>
      </c>
      <c r="B89" s="149">
        <v>0.5</v>
      </c>
      <c r="C89" s="141">
        <f t="shared" si="10"/>
        <v>1</v>
      </c>
      <c r="D89" s="141">
        <f t="shared" si="11"/>
        <v>2</v>
      </c>
    </row>
    <row r="90" spans="1:4">
      <c r="A90" s="142">
        <v>44221</v>
      </c>
      <c r="B90" s="149">
        <v>0.60000000000000142</v>
      </c>
      <c r="C90" s="141">
        <f t="shared" si="10"/>
        <v>1</v>
      </c>
      <c r="D90" s="141">
        <f t="shared" si="11"/>
        <v>3</v>
      </c>
    </row>
    <row r="91" spans="1:4">
      <c r="A91" s="142">
        <v>44225</v>
      </c>
      <c r="B91" s="149">
        <v>0.60000000000000142</v>
      </c>
      <c r="C91" s="141">
        <f t="shared" si="10"/>
        <v>1</v>
      </c>
      <c r="D91" s="141">
        <f t="shared" si="11"/>
        <v>4</v>
      </c>
    </row>
    <row r="92" spans="1:4">
      <c r="A92" s="142">
        <v>44209</v>
      </c>
      <c r="B92" s="149">
        <v>0.69999999999999929</v>
      </c>
      <c r="C92" s="141">
        <f t="shared" si="10"/>
        <v>1</v>
      </c>
      <c r="D92" s="141">
        <f t="shared" si="11"/>
        <v>5</v>
      </c>
    </row>
    <row r="93" spans="1:4">
      <c r="A93" s="142">
        <v>44220</v>
      </c>
      <c r="B93" s="149">
        <v>0.69999999999999929</v>
      </c>
      <c r="C93" s="141">
        <f t="shared" si="10"/>
        <v>1</v>
      </c>
      <c r="D93" s="141">
        <f t="shared" si="11"/>
        <v>6</v>
      </c>
    </row>
    <row r="94" spans="1:4">
      <c r="A94" s="142">
        <v>44250</v>
      </c>
      <c r="B94" s="149">
        <v>0.80000000000000071</v>
      </c>
      <c r="C94" s="141">
        <f t="shared" si="10"/>
        <v>1</v>
      </c>
      <c r="D94" s="141">
        <f t="shared" si="11"/>
        <v>7</v>
      </c>
    </row>
    <row r="95" spans="1:4">
      <c r="A95" s="142">
        <v>44195</v>
      </c>
      <c r="B95" s="149">
        <v>0.89999999999999858</v>
      </c>
      <c r="C95" s="141">
        <f t="shared" si="10"/>
        <v>1</v>
      </c>
      <c r="D95" s="141">
        <f t="shared" si="11"/>
        <v>8</v>
      </c>
    </row>
    <row r="96" spans="1:4">
      <c r="A96" s="142">
        <v>44258</v>
      </c>
      <c r="B96" s="149">
        <v>0.89999999999999858</v>
      </c>
      <c r="C96" s="141">
        <f t="shared" si="10"/>
        <v>1</v>
      </c>
      <c r="D96" s="141">
        <f t="shared" si="11"/>
        <v>9</v>
      </c>
    </row>
    <row r="97" spans="1:4">
      <c r="A97" s="142">
        <v>44274</v>
      </c>
      <c r="B97" s="149">
        <v>0.89999999999999858</v>
      </c>
      <c r="C97" s="141">
        <f t="shared" si="10"/>
        <v>1</v>
      </c>
      <c r="D97" s="141">
        <f t="shared" si="11"/>
        <v>10</v>
      </c>
    </row>
    <row r="98" spans="1:4">
      <c r="A98" s="142">
        <v>44226</v>
      </c>
      <c r="B98" s="149">
        <v>1</v>
      </c>
      <c r="C98" s="141">
        <f t="shared" si="10"/>
        <v>1</v>
      </c>
      <c r="D98" s="141">
        <f t="shared" si="11"/>
        <v>11</v>
      </c>
    </row>
    <row r="99" spans="1:4">
      <c r="A99" s="142">
        <v>44260</v>
      </c>
      <c r="B99" s="149">
        <v>1</v>
      </c>
      <c r="C99" s="141">
        <f t="shared" si="10"/>
        <v>1</v>
      </c>
      <c r="D99" s="141">
        <f t="shared" si="11"/>
        <v>12</v>
      </c>
    </row>
    <row r="100" spans="1:4">
      <c r="A100" s="142">
        <v>44169</v>
      </c>
      <c r="B100" s="149">
        <v>1.1000000000000014</v>
      </c>
      <c r="C100" s="141">
        <f t="shared" si="10"/>
        <v>1</v>
      </c>
      <c r="D100" s="141">
        <f t="shared" si="11"/>
        <v>13</v>
      </c>
    </row>
    <row r="101" spans="1:4">
      <c r="A101" s="142">
        <v>44265</v>
      </c>
      <c r="B101" s="149">
        <v>1.1000000000000014</v>
      </c>
      <c r="C101" s="141">
        <f t="shared" si="10"/>
        <v>1</v>
      </c>
      <c r="D101" s="141">
        <f t="shared" si="11"/>
        <v>14</v>
      </c>
    </row>
    <row r="102" spans="1:4">
      <c r="A102" s="142">
        <v>44193</v>
      </c>
      <c r="B102" s="149">
        <v>1.1999999999999993</v>
      </c>
      <c r="C102" s="141">
        <f t="shared" si="10"/>
        <v>1</v>
      </c>
      <c r="D102" s="141">
        <f t="shared" si="11"/>
        <v>15</v>
      </c>
    </row>
    <row r="103" spans="1:4">
      <c r="A103" s="142">
        <v>44201</v>
      </c>
      <c r="B103" s="149">
        <v>1.1999999999999993</v>
      </c>
      <c r="C103" s="141">
        <f t="shared" si="10"/>
        <v>1</v>
      </c>
      <c r="D103" s="141">
        <f t="shared" si="11"/>
        <v>16</v>
      </c>
    </row>
    <row r="104" spans="1:4">
      <c r="A104" s="142">
        <v>44224</v>
      </c>
      <c r="B104" s="149">
        <v>1.1999999999999993</v>
      </c>
      <c r="C104" s="141">
        <f t="shared" si="10"/>
        <v>1</v>
      </c>
      <c r="D104" s="141">
        <f t="shared" si="11"/>
        <v>17</v>
      </c>
    </row>
    <row r="105" spans="1:4">
      <c r="A105" s="142">
        <v>44184</v>
      </c>
      <c r="B105" s="149">
        <v>1.5</v>
      </c>
      <c r="C105" s="141">
        <f t="shared" ref="C105:C168" si="13">ROUND(B105,0)</f>
        <v>2</v>
      </c>
      <c r="D105" s="141">
        <f t="shared" ref="D105:D168" si="14">IF(C105=C104,D104+1,1)</f>
        <v>1</v>
      </c>
    </row>
    <row r="106" spans="1:4">
      <c r="A106" s="142">
        <v>44164</v>
      </c>
      <c r="B106" s="149">
        <v>1.6000000000000014</v>
      </c>
      <c r="C106" s="141">
        <f t="shared" si="13"/>
        <v>2</v>
      </c>
      <c r="D106" s="141">
        <f t="shared" si="14"/>
        <v>2</v>
      </c>
    </row>
    <row r="107" spans="1:4">
      <c r="A107" s="142">
        <v>44272</v>
      </c>
      <c r="B107" s="149">
        <v>1.6000000000000014</v>
      </c>
      <c r="C107" s="141">
        <f t="shared" si="13"/>
        <v>2</v>
      </c>
      <c r="D107" s="141">
        <f t="shared" si="14"/>
        <v>3</v>
      </c>
    </row>
    <row r="108" spans="1:4">
      <c r="A108" s="142">
        <v>44185</v>
      </c>
      <c r="B108" s="149">
        <v>1.6999999999999993</v>
      </c>
      <c r="C108" s="141">
        <f t="shared" si="13"/>
        <v>2</v>
      </c>
      <c r="D108" s="141">
        <f t="shared" si="14"/>
        <v>4</v>
      </c>
    </row>
    <row r="109" spans="1:4">
      <c r="A109" s="142">
        <v>44199</v>
      </c>
      <c r="B109" s="149">
        <v>1.6999999999999993</v>
      </c>
      <c r="C109" s="141">
        <f t="shared" si="13"/>
        <v>2</v>
      </c>
      <c r="D109" s="141">
        <f t="shared" si="14"/>
        <v>5</v>
      </c>
    </row>
    <row r="110" spans="1:4">
      <c r="A110" s="142">
        <v>44232</v>
      </c>
      <c r="B110" s="149">
        <v>1.8000000000000007</v>
      </c>
      <c r="C110" s="141">
        <f t="shared" si="13"/>
        <v>2</v>
      </c>
      <c r="D110" s="141">
        <f t="shared" si="14"/>
        <v>6</v>
      </c>
    </row>
    <row r="111" spans="1:4">
      <c r="A111" s="142">
        <v>44142</v>
      </c>
      <c r="B111" s="149">
        <v>1.8999999999999986</v>
      </c>
      <c r="C111" s="141">
        <f t="shared" si="13"/>
        <v>2</v>
      </c>
      <c r="D111" s="141">
        <f t="shared" si="14"/>
        <v>7</v>
      </c>
    </row>
    <row r="112" spans="1:4">
      <c r="A112" s="142">
        <v>44183</v>
      </c>
      <c r="B112" s="149">
        <v>1.8999999999999986</v>
      </c>
      <c r="C112" s="141">
        <f t="shared" si="13"/>
        <v>2</v>
      </c>
      <c r="D112" s="141">
        <f t="shared" si="14"/>
        <v>8</v>
      </c>
    </row>
    <row r="113" spans="1:4">
      <c r="A113" s="142">
        <v>44293</v>
      </c>
      <c r="B113" s="149">
        <v>1.8999999999999986</v>
      </c>
      <c r="C113" s="141">
        <f t="shared" si="13"/>
        <v>2</v>
      </c>
      <c r="D113" s="141">
        <f t="shared" si="14"/>
        <v>9</v>
      </c>
    </row>
    <row r="114" spans="1:4">
      <c r="A114" s="142">
        <v>44215</v>
      </c>
      <c r="B114" s="149">
        <v>2</v>
      </c>
      <c r="C114" s="141">
        <f t="shared" si="13"/>
        <v>2</v>
      </c>
      <c r="D114" s="141">
        <f t="shared" si="14"/>
        <v>10</v>
      </c>
    </row>
    <row r="115" spans="1:4">
      <c r="A115" s="142">
        <v>44251</v>
      </c>
      <c r="B115" s="149">
        <v>2</v>
      </c>
      <c r="C115" s="141">
        <f t="shared" si="13"/>
        <v>2</v>
      </c>
      <c r="D115" s="141">
        <f t="shared" si="14"/>
        <v>11</v>
      </c>
    </row>
    <row r="116" spans="1:4">
      <c r="A116" s="142">
        <v>44256</v>
      </c>
      <c r="B116" s="149">
        <v>2</v>
      </c>
      <c r="C116" s="141">
        <f t="shared" si="13"/>
        <v>2</v>
      </c>
      <c r="D116" s="141">
        <f t="shared" si="14"/>
        <v>12</v>
      </c>
    </row>
    <row r="117" spans="1:4">
      <c r="A117" s="142">
        <v>44276</v>
      </c>
      <c r="B117" s="149">
        <v>2</v>
      </c>
      <c r="C117" s="141">
        <f t="shared" si="13"/>
        <v>2</v>
      </c>
      <c r="D117" s="141">
        <f t="shared" si="14"/>
        <v>13</v>
      </c>
    </row>
    <row r="118" spans="1:4">
      <c r="A118" s="142">
        <v>44301</v>
      </c>
      <c r="B118" s="149">
        <v>2</v>
      </c>
      <c r="C118" s="141">
        <f t="shared" si="13"/>
        <v>2</v>
      </c>
      <c r="D118" s="141">
        <f t="shared" si="14"/>
        <v>14</v>
      </c>
    </row>
    <row r="119" spans="1:4">
      <c r="A119" s="142">
        <v>44176</v>
      </c>
      <c r="B119" s="149">
        <v>2.1000000000000014</v>
      </c>
      <c r="C119" s="141">
        <f t="shared" si="13"/>
        <v>2</v>
      </c>
      <c r="D119" s="141">
        <f t="shared" si="14"/>
        <v>15</v>
      </c>
    </row>
    <row r="120" spans="1:4">
      <c r="A120" s="142">
        <v>44182</v>
      </c>
      <c r="B120" s="149">
        <v>2.1000000000000014</v>
      </c>
      <c r="C120" s="141">
        <f t="shared" si="13"/>
        <v>2</v>
      </c>
      <c r="D120" s="141">
        <f t="shared" si="14"/>
        <v>16</v>
      </c>
    </row>
    <row r="121" spans="1:4">
      <c r="A121" s="142">
        <v>44190</v>
      </c>
      <c r="B121" s="149">
        <v>2.1000000000000014</v>
      </c>
      <c r="C121" s="141">
        <f t="shared" si="13"/>
        <v>2</v>
      </c>
      <c r="D121" s="141">
        <f t="shared" si="14"/>
        <v>17</v>
      </c>
    </row>
    <row r="122" spans="1:4">
      <c r="A122" s="142">
        <v>44273</v>
      </c>
      <c r="B122" s="149">
        <v>2.1000000000000014</v>
      </c>
      <c r="C122" s="141">
        <f t="shared" si="13"/>
        <v>2</v>
      </c>
      <c r="D122" s="141">
        <f t="shared" si="14"/>
        <v>18</v>
      </c>
    </row>
    <row r="123" spans="1:4">
      <c r="A123" s="142">
        <v>44217</v>
      </c>
      <c r="B123" s="149">
        <v>2.1999999999999993</v>
      </c>
      <c r="C123" s="141">
        <f t="shared" si="13"/>
        <v>2</v>
      </c>
      <c r="D123" s="141">
        <f t="shared" si="14"/>
        <v>19</v>
      </c>
    </row>
    <row r="124" spans="1:4">
      <c r="A124" s="142">
        <v>44177</v>
      </c>
      <c r="B124" s="149">
        <v>2.3000000000000007</v>
      </c>
      <c r="C124" s="141">
        <f t="shared" si="13"/>
        <v>2</v>
      </c>
      <c r="D124" s="141">
        <f t="shared" si="14"/>
        <v>20</v>
      </c>
    </row>
    <row r="125" spans="1:4">
      <c r="A125" s="142">
        <v>44247</v>
      </c>
      <c r="B125" s="149">
        <v>2.3999999999999986</v>
      </c>
      <c r="C125" s="141">
        <f t="shared" si="13"/>
        <v>2</v>
      </c>
      <c r="D125" s="141">
        <f t="shared" si="14"/>
        <v>21</v>
      </c>
    </row>
    <row r="126" spans="1:4">
      <c r="A126" s="142">
        <v>44143</v>
      </c>
      <c r="B126" s="149">
        <v>2.5</v>
      </c>
      <c r="C126" s="141">
        <f t="shared" si="13"/>
        <v>3</v>
      </c>
      <c r="D126" s="141">
        <f t="shared" si="14"/>
        <v>1</v>
      </c>
    </row>
    <row r="127" spans="1:4">
      <c r="A127" s="142">
        <v>44186</v>
      </c>
      <c r="B127" s="149">
        <v>2.5</v>
      </c>
      <c r="C127" s="141">
        <f t="shared" si="13"/>
        <v>3</v>
      </c>
      <c r="D127" s="141">
        <f t="shared" si="14"/>
        <v>2</v>
      </c>
    </row>
    <row r="128" spans="1:4">
      <c r="A128" s="142">
        <v>44200</v>
      </c>
      <c r="B128" s="149">
        <v>2.5</v>
      </c>
      <c r="C128" s="141">
        <f t="shared" si="13"/>
        <v>3</v>
      </c>
      <c r="D128" s="141">
        <f t="shared" si="14"/>
        <v>3</v>
      </c>
    </row>
    <row r="129" spans="1:4">
      <c r="A129" s="142">
        <v>44302</v>
      </c>
      <c r="B129" s="149">
        <v>2.5</v>
      </c>
      <c r="C129" s="141">
        <f t="shared" si="13"/>
        <v>3</v>
      </c>
      <c r="D129" s="141">
        <f t="shared" si="14"/>
        <v>4</v>
      </c>
    </row>
    <row r="130" spans="1:4">
      <c r="A130" s="142">
        <v>44219</v>
      </c>
      <c r="B130" s="149">
        <v>2.6000000000000014</v>
      </c>
      <c r="C130" s="141">
        <f t="shared" si="13"/>
        <v>3</v>
      </c>
      <c r="D130" s="141">
        <f t="shared" si="14"/>
        <v>5</v>
      </c>
    </row>
    <row r="131" spans="1:4">
      <c r="A131" s="142">
        <v>44248</v>
      </c>
      <c r="B131" s="149">
        <v>2.6999999999999993</v>
      </c>
      <c r="C131" s="141">
        <f t="shared" si="13"/>
        <v>3</v>
      </c>
      <c r="D131" s="141">
        <f t="shared" si="14"/>
        <v>6</v>
      </c>
    </row>
    <row r="132" spans="1:4">
      <c r="A132" s="142">
        <v>44252</v>
      </c>
      <c r="B132" s="149">
        <v>2.8000000000000007</v>
      </c>
      <c r="C132" s="141">
        <f t="shared" si="13"/>
        <v>3</v>
      </c>
      <c r="D132" s="141">
        <f t="shared" si="14"/>
        <v>7</v>
      </c>
    </row>
    <row r="133" spans="1:4">
      <c r="A133" s="142">
        <v>44181</v>
      </c>
      <c r="B133" s="149">
        <v>2.8999999999999986</v>
      </c>
      <c r="C133" s="141">
        <f t="shared" si="13"/>
        <v>3</v>
      </c>
      <c r="D133" s="141">
        <f t="shared" si="14"/>
        <v>8</v>
      </c>
    </row>
    <row r="134" spans="1:4">
      <c r="A134" s="142">
        <v>44194</v>
      </c>
      <c r="B134" s="149">
        <v>2.8999999999999986</v>
      </c>
      <c r="C134" s="141">
        <f t="shared" si="13"/>
        <v>3</v>
      </c>
      <c r="D134" s="141">
        <f t="shared" si="14"/>
        <v>9</v>
      </c>
    </row>
    <row r="135" spans="1:4">
      <c r="A135" s="142">
        <v>44157</v>
      </c>
      <c r="B135" s="149">
        <v>3</v>
      </c>
      <c r="C135" s="141">
        <f t="shared" si="13"/>
        <v>3</v>
      </c>
      <c r="D135" s="141">
        <f t="shared" si="14"/>
        <v>10</v>
      </c>
    </row>
    <row r="136" spans="1:4">
      <c r="A136" s="142">
        <v>44141</v>
      </c>
      <c r="B136" s="149">
        <v>3.1000000000000014</v>
      </c>
      <c r="C136" s="141">
        <f t="shared" si="13"/>
        <v>3</v>
      </c>
      <c r="D136" s="141">
        <f t="shared" si="14"/>
        <v>11</v>
      </c>
    </row>
    <row r="137" spans="1:4">
      <c r="A137" s="142">
        <v>44253</v>
      </c>
      <c r="B137" s="149">
        <v>3.1000000000000014</v>
      </c>
      <c r="C137" s="141">
        <f t="shared" si="13"/>
        <v>3</v>
      </c>
      <c r="D137" s="141">
        <f t="shared" si="14"/>
        <v>12</v>
      </c>
    </row>
    <row r="138" spans="1:4">
      <c r="A138" s="142">
        <v>44144</v>
      </c>
      <c r="B138" s="149">
        <v>3.1999999999999993</v>
      </c>
      <c r="C138" s="141">
        <f t="shared" si="13"/>
        <v>3</v>
      </c>
      <c r="D138" s="141">
        <f t="shared" si="14"/>
        <v>13</v>
      </c>
    </row>
    <row r="139" spans="1:4">
      <c r="A139" s="142">
        <v>44294</v>
      </c>
      <c r="B139" s="149">
        <v>3.1999999999999993</v>
      </c>
      <c r="C139" s="141">
        <f t="shared" si="13"/>
        <v>3</v>
      </c>
      <c r="D139" s="141">
        <f t="shared" si="14"/>
        <v>14</v>
      </c>
    </row>
    <row r="140" spans="1:4">
      <c r="A140" s="142">
        <v>44180</v>
      </c>
      <c r="B140" s="149">
        <v>3.3000000000000007</v>
      </c>
      <c r="C140" s="141">
        <f t="shared" si="13"/>
        <v>3</v>
      </c>
      <c r="D140" s="141">
        <f t="shared" si="14"/>
        <v>15</v>
      </c>
    </row>
    <row r="141" spans="1:4">
      <c r="A141" s="142">
        <v>44271</v>
      </c>
      <c r="B141" s="149">
        <v>3.3999999999999986</v>
      </c>
      <c r="C141" s="141">
        <f t="shared" si="13"/>
        <v>3</v>
      </c>
      <c r="D141" s="141">
        <f t="shared" si="14"/>
        <v>16</v>
      </c>
    </row>
    <row r="142" spans="1:4">
      <c r="A142" s="142">
        <v>44155</v>
      </c>
      <c r="B142" s="149">
        <v>3.5</v>
      </c>
      <c r="C142" s="141">
        <f t="shared" si="13"/>
        <v>4</v>
      </c>
      <c r="D142" s="141">
        <f t="shared" si="14"/>
        <v>1</v>
      </c>
    </row>
    <row r="143" spans="1:4">
      <c r="A143" s="142">
        <v>44175</v>
      </c>
      <c r="B143" s="149">
        <v>3.5</v>
      </c>
      <c r="C143" s="141">
        <f t="shared" si="13"/>
        <v>4</v>
      </c>
      <c r="D143" s="141">
        <f t="shared" si="14"/>
        <v>2</v>
      </c>
    </row>
    <row r="144" spans="1:4">
      <c r="A144" s="142">
        <v>44244</v>
      </c>
      <c r="B144" s="149">
        <v>3.5</v>
      </c>
      <c r="C144" s="141">
        <f t="shared" si="13"/>
        <v>4</v>
      </c>
      <c r="D144" s="141">
        <f t="shared" si="14"/>
        <v>3</v>
      </c>
    </row>
    <row r="145" spans="1:4">
      <c r="A145" s="142">
        <v>44270</v>
      </c>
      <c r="B145" s="149">
        <v>3.5</v>
      </c>
      <c r="C145" s="141">
        <f t="shared" si="13"/>
        <v>4</v>
      </c>
      <c r="D145" s="141">
        <f t="shared" si="14"/>
        <v>4</v>
      </c>
    </row>
    <row r="146" spans="1:4">
      <c r="A146" s="142">
        <v>44254</v>
      </c>
      <c r="B146" s="149">
        <v>3.6000000000000014</v>
      </c>
      <c r="C146" s="141">
        <f t="shared" si="13"/>
        <v>4</v>
      </c>
      <c r="D146" s="141">
        <f t="shared" si="14"/>
        <v>5</v>
      </c>
    </row>
    <row r="147" spans="1:4">
      <c r="A147" s="142">
        <v>44277</v>
      </c>
      <c r="B147" s="149">
        <v>3.6000000000000014</v>
      </c>
      <c r="C147" s="141">
        <f t="shared" si="13"/>
        <v>4</v>
      </c>
      <c r="D147" s="141">
        <f t="shared" si="14"/>
        <v>6</v>
      </c>
    </row>
    <row r="148" spans="1:4">
      <c r="A148" s="142">
        <v>44249</v>
      </c>
      <c r="B148" s="149">
        <v>3.6999999999999993</v>
      </c>
      <c r="C148" s="141">
        <f t="shared" si="13"/>
        <v>4</v>
      </c>
      <c r="D148" s="141">
        <f t="shared" si="14"/>
        <v>7</v>
      </c>
    </row>
    <row r="149" spans="1:4">
      <c r="A149" s="142">
        <v>44303</v>
      </c>
      <c r="B149" s="149">
        <v>3.6999999999999993</v>
      </c>
      <c r="C149" s="141">
        <f t="shared" si="13"/>
        <v>4</v>
      </c>
      <c r="D149" s="141">
        <f t="shared" si="14"/>
        <v>8</v>
      </c>
    </row>
    <row r="150" spans="1:4">
      <c r="A150" s="142">
        <v>44229</v>
      </c>
      <c r="B150" s="149">
        <v>3.8000000000000007</v>
      </c>
      <c r="C150" s="141">
        <f t="shared" si="13"/>
        <v>4</v>
      </c>
      <c r="D150" s="141">
        <f t="shared" si="14"/>
        <v>9</v>
      </c>
    </row>
    <row r="151" spans="1:4">
      <c r="A151" s="142">
        <v>44300</v>
      </c>
      <c r="B151" s="149">
        <v>3.8000000000000007</v>
      </c>
      <c r="C151" s="141">
        <f t="shared" si="13"/>
        <v>4</v>
      </c>
      <c r="D151" s="141">
        <f t="shared" si="14"/>
        <v>10</v>
      </c>
    </row>
    <row r="152" spans="1:4">
      <c r="A152" s="142">
        <v>44178</v>
      </c>
      <c r="B152" s="149">
        <v>3.8999999999999986</v>
      </c>
      <c r="C152" s="141">
        <f t="shared" si="13"/>
        <v>4</v>
      </c>
      <c r="D152" s="141">
        <f t="shared" si="14"/>
        <v>11</v>
      </c>
    </row>
    <row r="153" spans="1:4">
      <c r="A153" s="142">
        <v>44278</v>
      </c>
      <c r="B153" s="149">
        <v>3.8999999999999986</v>
      </c>
      <c r="C153" s="141">
        <f t="shared" si="13"/>
        <v>4</v>
      </c>
      <c r="D153" s="141">
        <f t="shared" si="14"/>
        <v>12</v>
      </c>
    </row>
    <row r="154" spans="1:4">
      <c r="A154" s="142">
        <v>44299</v>
      </c>
      <c r="B154" s="149">
        <v>4</v>
      </c>
      <c r="C154" s="141">
        <f t="shared" si="13"/>
        <v>4</v>
      </c>
      <c r="D154" s="141">
        <f t="shared" si="14"/>
        <v>13</v>
      </c>
    </row>
    <row r="155" spans="1:4">
      <c r="A155" s="142">
        <v>44173</v>
      </c>
      <c r="B155" s="149">
        <v>4.1000000000000014</v>
      </c>
      <c r="C155" s="141">
        <f t="shared" si="13"/>
        <v>4</v>
      </c>
      <c r="D155" s="141">
        <f t="shared" si="14"/>
        <v>14</v>
      </c>
    </row>
    <row r="156" spans="1:4">
      <c r="A156" s="142">
        <v>44298</v>
      </c>
      <c r="B156" s="149">
        <v>4.3000000000000007</v>
      </c>
      <c r="C156" s="141">
        <f t="shared" si="13"/>
        <v>4</v>
      </c>
      <c r="D156" s="141">
        <f t="shared" si="14"/>
        <v>15</v>
      </c>
    </row>
    <row r="157" spans="1:4">
      <c r="A157" s="142">
        <v>44145</v>
      </c>
      <c r="B157" s="149">
        <v>4.3999999999999986</v>
      </c>
      <c r="C157" s="141">
        <f t="shared" si="13"/>
        <v>4</v>
      </c>
      <c r="D157" s="141">
        <f t="shared" si="14"/>
        <v>16</v>
      </c>
    </row>
    <row r="158" spans="1:4">
      <c r="A158" s="142">
        <v>44216</v>
      </c>
      <c r="B158" s="149">
        <v>4.3999999999999986</v>
      </c>
      <c r="C158" s="141">
        <f t="shared" si="13"/>
        <v>4</v>
      </c>
      <c r="D158" s="141">
        <f t="shared" si="14"/>
        <v>17</v>
      </c>
    </row>
    <row r="159" spans="1:4">
      <c r="A159" s="142">
        <v>44255</v>
      </c>
      <c r="B159" s="149">
        <v>4.3999999999999986</v>
      </c>
      <c r="C159" s="141">
        <f t="shared" si="13"/>
        <v>4</v>
      </c>
      <c r="D159" s="141">
        <f t="shared" si="14"/>
        <v>18</v>
      </c>
    </row>
    <row r="160" spans="1:4">
      <c r="A160" s="142">
        <v>44259</v>
      </c>
      <c r="B160" s="149">
        <v>4.3999999999999986</v>
      </c>
      <c r="C160" s="141">
        <f t="shared" si="13"/>
        <v>4</v>
      </c>
      <c r="D160" s="141">
        <f t="shared" si="14"/>
        <v>19</v>
      </c>
    </row>
    <row r="161" spans="1:4">
      <c r="A161" s="142">
        <v>44179</v>
      </c>
      <c r="B161" s="149">
        <v>4.5</v>
      </c>
      <c r="C161" s="141">
        <f t="shared" si="13"/>
        <v>5</v>
      </c>
      <c r="D161" s="141">
        <f t="shared" si="14"/>
        <v>1</v>
      </c>
    </row>
    <row r="162" spans="1:4">
      <c r="A162" s="142">
        <v>44290</v>
      </c>
      <c r="B162" s="149">
        <v>4.5</v>
      </c>
      <c r="C162" s="141">
        <f t="shared" si="13"/>
        <v>5</v>
      </c>
      <c r="D162" s="141">
        <f t="shared" si="14"/>
        <v>2</v>
      </c>
    </row>
    <row r="163" spans="1:4">
      <c r="A163" s="142">
        <v>44291</v>
      </c>
      <c r="B163" s="149">
        <v>4.6000000000000014</v>
      </c>
      <c r="C163" s="141">
        <f t="shared" si="13"/>
        <v>5</v>
      </c>
      <c r="D163" s="141">
        <f t="shared" si="14"/>
        <v>3</v>
      </c>
    </row>
    <row r="164" spans="1:4">
      <c r="A164" s="142">
        <v>44158</v>
      </c>
      <c r="B164" s="149">
        <v>4.8000000000000007</v>
      </c>
      <c r="C164" s="141">
        <f t="shared" si="13"/>
        <v>5</v>
      </c>
      <c r="D164" s="141">
        <f t="shared" si="14"/>
        <v>4</v>
      </c>
    </row>
    <row r="165" spans="1:4">
      <c r="A165" s="142">
        <v>44170</v>
      </c>
      <c r="B165" s="149">
        <v>4.8000000000000007</v>
      </c>
      <c r="C165" s="141">
        <f t="shared" si="13"/>
        <v>5</v>
      </c>
      <c r="D165" s="141">
        <f t="shared" si="14"/>
        <v>5</v>
      </c>
    </row>
    <row r="166" spans="1:4">
      <c r="A166" s="142">
        <v>44174</v>
      </c>
      <c r="B166" s="149">
        <v>4.8000000000000007</v>
      </c>
      <c r="C166" s="141">
        <f t="shared" si="13"/>
        <v>5</v>
      </c>
      <c r="D166" s="141">
        <f t="shared" si="14"/>
        <v>6</v>
      </c>
    </row>
    <row r="167" spans="1:4">
      <c r="A167" s="142">
        <v>44269</v>
      </c>
      <c r="B167" s="149">
        <v>4.8000000000000007</v>
      </c>
      <c r="C167" s="141">
        <f t="shared" si="13"/>
        <v>5</v>
      </c>
      <c r="D167" s="141">
        <f t="shared" si="14"/>
        <v>7</v>
      </c>
    </row>
    <row r="168" spans="1:4">
      <c r="A168" s="142">
        <v>44146</v>
      </c>
      <c r="B168" s="149">
        <v>4.8999999999999986</v>
      </c>
      <c r="C168" s="141">
        <f t="shared" si="13"/>
        <v>5</v>
      </c>
      <c r="D168" s="141">
        <f t="shared" si="14"/>
        <v>8</v>
      </c>
    </row>
    <row r="169" spans="1:4">
      <c r="A169" s="142">
        <v>44246</v>
      </c>
      <c r="B169" s="149">
        <v>4.8999999999999986</v>
      </c>
      <c r="C169" s="141">
        <f t="shared" ref="C169:C232" si="15">ROUND(B169,0)</f>
        <v>5</v>
      </c>
      <c r="D169" s="141">
        <f t="shared" ref="D169:D232" si="16">IF(C169=C168,D168+1,1)</f>
        <v>9</v>
      </c>
    </row>
    <row r="170" spans="1:4">
      <c r="A170" s="142">
        <v>44245</v>
      </c>
      <c r="B170" s="149">
        <v>5</v>
      </c>
      <c r="C170" s="141">
        <f t="shared" si="15"/>
        <v>5</v>
      </c>
      <c r="D170" s="141">
        <f t="shared" si="16"/>
        <v>10</v>
      </c>
    </row>
    <row r="171" spans="1:4">
      <c r="A171" s="142">
        <v>44289</v>
      </c>
      <c r="B171" s="149">
        <v>5.1000000000000014</v>
      </c>
      <c r="C171" s="141">
        <f t="shared" si="15"/>
        <v>5</v>
      </c>
      <c r="D171" s="141">
        <f t="shared" si="16"/>
        <v>11</v>
      </c>
    </row>
    <row r="172" spans="1:4">
      <c r="A172" s="142">
        <v>44312</v>
      </c>
      <c r="B172" s="149">
        <v>5.1999999999999993</v>
      </c>
      <c r="C172" s="141">
        <f t="shared" si="15"/>
        <v>5</v>
      </c>
      <c r="D172" s="141">
        <f t="shared" si="16"/>
        <v>12</v>
      </c>
    </row>
    <row r="173" spans="1:4">
      <c r="A173" s="142">
        <v>44140</v>
      </c>
      <c r="B173" s="149">
        <v>5.3999999999999986</v>
      </c>
      <c r="C173" s="141">
        <f t="shared" si="15"/>
        <v>5</v>
      </c>
      <c r="D173" s="141">
        <f t="shared" si="16"/>
        <v>13</v>
      </c>
    </row>
    <row r="174" spans="1:4">
      <c r="A174" s="142">
        <v>44147</v>
      </c>
      <c r="B174" s="149">
        <v>5.3999999999999986</v>
      </c>
      <c r="C174" s="141">
        <f t="shared" si="15"/>
        <v>5</v>
      </c>
      <c r="D174" s="141">
        <f t="shared" si="16"/>
        <v>14</v>
      </c>
    </row>
    <row r="175" spans="1:4">
      <c r="A175" s="142">
        <v>44150</v>
      </c>
      <c r="B175" s="149">
        <v>5.3999999999999986</v>
      </c>
      <c r="C175" s="141">
        <f t="shared" si="15"/>
        <v>5</v>
      </c>
      <c r="D175" s="141">
        <f t="shared" si="16"/>
        <v>15</v>
      </c>
    </row>
    <row r="176" spans="1:4">
      <c r="A176" s="142">
        <v>44295</v>
      </c>
      <c r="B176" s="149">
        <v>5.6000000000000014</v>
      </c>
      <c r="C176" s="141">
        <f t="shared" si="15"/>
        <v>6</v>
      </c>
      <c r="D176" s="141">
        <f t="shared" si="16"/>
        <v>1</v>
      </c>
    </row>
    <row r="177" spans="1:4">
      <c r="A177" s="142">
        <v>44266</v>
      </c>
      <c r="B177" s="149">
        <v>5.6999999999999993</v>
      </c>
      <c r="C177" s="141">
        <f t="shared" si="15"/>
        <v>6</v>
      </c>
      <c r="D177" s="141">
        <f t="shared" si="16"/>
        <v>2</v>
      </c>
    </row>
    <row r="178" spans="1:4">
      <c r="A178" s="142">
        <v>44218</v>
      </c>
      <c r="B178" s="149">
        <v>6.1000000000000014</v>
      </c>
      <c r="C178" s="141">
        <f t="shared" si="15"/>
        <v>6</v>
      </c>
      <c r="D178" s="141">
        <f t="shared" si="16"/>
        <v>3</v>
      </c>
    </row>
    <row r="179" spans="1:4">
      <c r="A179" s="142">
        <v>44115</v>
      </c>
      <c r="B179" s="149">
        <v>6.1999999999999993</v>
      </c>
      <c r="C179" s="141">
        <f t="shared" si="15"/>
        <v>6</v>
      </c>
      <c r="D179" s="141">
        <f t="shared" si="16"/>
        <v>4</v>
      </c>
    </row>
    <row r="180" spans="1:4">
      <c r="A180" s="142">
        <v>44267</v>
      </c>
      <c r="B180" s="149">
        <v>6.3999999999999986</v>
      </c>
      <c r="C180" s="141">
        <f t="shared" si="15"/>
        <v>6</v>
      </c>
      <c r="D180" s="141">
        <f t="shared" si="16"/>
        <v>5</v>
      </c>
    </row>
    <row r="181" spans="1:4">
      <c r="A181" s="142">
        <v>44279</v>
      </c>
      <c r="B181" s="149">
        <v>6.3999999999999986</v>
      </c>
      <c r="C181" s="141">
        <f t="shared" si="15"/>
        <v>6</v>
      </c>
      <c r="D181" s="141">
        <f t="shared" si="16"/>
        <v>6</v>
      </c>
    </row>
    <row r="182" spans="1:4">
      <c r="A182" s="142">
        <v>44117</v>
      </c>
      <c r="B182" s="149">
        <v>6.5</v>
      </c>
      <c r="C182" s="141">
        <f t="shared" si="15"/>
        <v>7</v>
      </c>
      <c r="D182" s="141">
        <f t="shared" si="16"/>
        <v>1</v>
      </c>
    </row>
    <row r="183" spans="1:4">
      <c r="A183" s="142">
        <v>44132</v>
      </c>
      <c r="B183" s="149">
        <v>6.8000000000000007</v>
      </c>
      <c r="C183" s="141">
        <f t="shared" si="15"/>
        <v>7</v>
      </c>
      <c r="D183" s="141">
        <f t="shared" si="16"/>
        <v>2</v>
      </c>
    </row>
    <row r="184" spans="1:4">
      <c r="A184" s="142">
        <v>44309</v>
      </c>
      <c r="B184" s="149">
        <v>6.8000000000000007</v>
      </c>
      <c r="C184" s="141">
        <f t="shared" si="15"/>
        <v>7</v>
      </c>
      <c r="D184" s="141">
        <f t="shared" si="16"/>
        <v>3</v>
      </c>
    </row>
    <row r="185" spans="1:4">
      <c r="A185" s="142">
        <v>44118</v>
      </c>
      <c r="B185" s="149">
        <v>6.8999999999999986</v>
      </c>
      <c r="C185" s="141">
        <f t="shared" si="15"/>
        <v>7</v>
      </c>
      <c r="D185" s="141">
        <f t="shared" si="16"/>
        <v>4</v>
      </c>
    </row>
    <row r="186" spans="1:4">
      <c r="A186" s="142">
        <v>44154</v>
      </c>
      <c r="B186" s="149">
        <v>6.8999999999999986</v>
      </c>
      <c r="C186" s="141">
        <f t="shared" si="15"/>
        <v>7</v>
      </c>
      <c r="D186" s="141">
        <f t="shared" si="16"/>
        <v>5</v>
      </c>
    </row>
    <row r="187" spans="1:4">
      <c r="A187" s="142">
        <v>44304</v>
      </c>
      <c r="B187" s="149">
        <v>6.8999999999999986</v>
      </c>
      <c r="C187" s="141">
        <f t="shared" si="15"/>
        <v>7</v>
      </c>
      <c r="D187" s="141">
        <f t="shared" si="16"/>
        <v>6</v>
      </c>
    </row>
    <row r="188" spans="1:4">
      <c r="A188" s="142">
        <v>44311</v>
      </c>
      <c r="B188" s="149">
        <v>6.8999999999999986</v>
      </c>
      <c r="C188" s="141">
        <f t="shared" si="15"/>
        <v>7</v>
      </c>
      <c r="D188" s="141">
        <f t="shared" si="16"/>
        <v>7</v>
      </c>
    </row>
    <row r="189" spans="1:4">
      <c r="A189" s="142">
        <v>44313</v>
      </c>
      <c r="B189" s="149">
        <v>6.8999999999999986</v>
      </c>
      <c r="C189" s="141">
        <f t="shared" si="15"/>
        <v>7</v>
      </c>
      <c r="D189" s="141">
        <f t="shared" si="16"/>
        <v>8</v>
      </c>
    </row>
    <row r="190" spans="1:4">
      <c r="A190" s="142">
        <v>44172</v>
      </c>
      <c r="B190" s="149">
        <v>7</v>
      </c>
      <c r="C190" s="141">
        <f t="shared" si="15"/>
        <v>7</v>
      </c>
      <c r="D190" s="141">
        <f t="shared" si="16"/>
        <v>9</v>
      </c>
    </row>
    <row r="191" spans="1:4">
      <c r="A191" s="142">
        <v>44231</v>
      </c>
      <c r="B191" s="149">
        <v>7</v>
      </c>
      <c r="C191" s="141">
        <f t="shared" si="15"/>
        <v>7</v>
      </c>
      <c r="D191" s="141">
        <f t="shared" si="16"/>
        <v>10</v>
      </c>
    </row>
    <row r="192" spans="1:4">
      <c r="A192" s="142">
        <v>44283</v>
      </c>
      <c r="B192" s="149">
        <v>7</v>
      </c>
      <c r="C192" s="141">
        <f t="shared" si="15"/>
        <v>7</v>
      </c>
      <c r="D192" s="141">
        <f t="shared" si="16"/>
        <v>11</v>
      </c>
    </row>
    <row r="193" spans="1:4">
      <c r="A193" s="142">
        <v>44124</v>
      </c>
      <c r="B193" s="149">
        <v>7.1000000000000014</v>
      </c>
      <c r="C193" s="141">
        <f t="shared" si="15"/>
        <v>7</v>
      </c>
      <c r="D193" s="141">
        <f t="shared" si="16"/>
        <v>12</v>
      </c>
    </row>
    <row r="194" spans="1:4">
      <c r="A194" s="142">
        <v>44148</v>
      </c>
      <c r="B194" s="149">
        <v>7.1000000000000014</v>
      </c>
      <c r="C194" s="141">
        <f t="shared" si="15"/>
        <v>7</v>
      </c>
      <c r="D194" s="141">
        <f t="shared" si="16"/>
        <v>13</v>
      </c>
    </row>
    <row r="195" spans="1:4">
      <c r="A195" s="142">
        <v>44268</v>
      </c>
      <c r="B195" s="149">
        <v>7.1000000000000014</v>
      </c>
      <c r="C195" s="141">
        <f t="shared" si="15"/>
        <v>7</v>
      </c>
      <c r="D195" s="141">
        <f t="shared" si="16"/>
        <v>14</v>
      </c>
    </row>
    <row r="196" spans="1:4">
      <c r="A196" s="142">
        <v>44288</v>
      </c>
      <c r="B196" s="149">
        <v>7.1999999999999993</v>
      </c>
      <c r="C196" s="141">
        <f t="shared" si="15"/>
        <v>7</v>
      </c>
      <c r="D196" s="141">
        <f t="shared" si="16"/>
        <v>15</v>
      </c>
    </row>
    <row r="197" spans="1:4">
      <c r="A197" s="142">
        <v>44308</v>
      </c>
      <c r="B197" s="149">
        <v>7.1999999999999993</v>
      </c>
      <c r="C197" s="141">
        <f t="shared" si="15"/>
        <v>7</v>
      </c>
      <c r="D197" s="141">
        <f t="shared" si="16"/>
        <v>16</v>
      </c>
    </row>
    <row r="198" spans="1:4">
      <c r="A198" s="142">
        <v>44100</v>
      </c>
      <c r="B198" s="149">
        <v>7.3000000000000007</v>
      </c>
      <c r="C198" s="141">
        <f t="shared" si="15"/>
        <v>7</v>
      </c>
      <c r="D198" s="141">
        <f t="shared" si="16"/>
        <v>17</v>
      </c>
    </row>
    <row r="199" spans="1:4">
      <c r="A199" s="142">
        <v>44102</v>
      </c>
      <c r="B199" s="149">
        <v>7.3000000000000007</v>
      </c>
      <c r="C199" s="141">
        <f t="shared" si="15"/>
        <v>7</v>
      </c>
      <c r="D199" s="141">
        <f t="shared" si="16"/>
        <v>18</v>
      </c>
    </row>
    <row r="200" spans="1:4">
      <c r="A200" s="142">
        <v>44121</v>
      </c>
      <c r="B200" s="149">
        <v>7.3000000000000007</v>
      </c>
      <c r="C200" s="141">
        <f t="shared" si="15"/>
        <v>7</v>
      </c>
      <c r="D200" s="141">
        <f t="shared" si="16"/>
        <v>19</v>
      </c>
    </row>
    <row r="201" spans="1:4">
      <c r="A201" s="142">
        <v>44310</v>
      </c>
      <c r="B201" s="149">
        <v>7.3000000000000007</v>
      </c>
      <c r="C201" s="141">
        <f t="shared" si="15"/>
        <v>7</v>
      </c>
      <c r="D201" s="141">
        <f t="shared" si="16"/>
        <v>20</v>
      </c>
    </row>
    <row r="202" spans="1:4">
      <c r="A202" s="142">
        <v>44280</v>
      </c>
      <c r="B202" s="149">
        <v>7.5</v>
      </c>
      <c r="C202" s="141">
        <f t="shared" si="15"/>
        <v>8</v>
      </c>
      <c r="D202" s="141">
        <f t="shared" si="16"/>
        <v>1</v>
      </c>
    </row>
    <row r="203" spans="1:4">
      <c r="A203" s="142">
        <v>44187</v>
      </c>
      <c r="B203" s="149">
        <v>7.6000000000000014</v>
      </c>
      <c r="C203" s="141">
        <f t="shared" si="15"/>
        <v>8</v>
      </c>
      <c r="D203" s="141">
        <f t="shared" si="16"/>
        <v>2</v>
      </c>
    </row>
    <row r="204" spans="1:4">
      <c r="A204" s="142">
        <v>44319</v>
      </c>
      <c r="B204" s="149">
        <v>7.6000000000000014</v>
      </c>
      <c r="C204" s="141">
        <f t="shared" si="15"/>
        <v>8</v>
      </c>
      <c r="D204" s="141">
        <f t="shared" si="16"/>
        <v>3</v>
      </c>
    </row>
    <row r="205" spans="1:4">
      <c r="A205" s="142">
        <v>44323</v>
      </c>
      <c r="B205" s="149">
        <v>7.6000000000000014</v>
      </c>
      <c r="C205" s="141">
        <f t="shared" si="15"/>
        <v>8</v>
      </c>
      <c r="D205" s="141">
        <f t="shared" si="16"/>
        <v>4</v>
      </c>
    </row>
    <row r="206" spans="1:4">
      <c r="A206" s="142">
        <v>44322</v>
      </c>
      <c r="B206" s="149">
        <v>7.6999999999999993</v>
      </c>
      <c r="C206" s="141">
        <f t="shared" si="15"/>
        <v>8</v>
      </c>
      <c r="D206" s="141">
        <f t="shared" si="16"/>
        <v>5</v>
      </c>
    </row>
    <row r="207" spans="1:4">
      <c r="A207" s="142">
        <v>44116</v>
      </c>
      <c r="B207" s="149">
        <v>7.8000000000000007</v>
      </c>
      <c r="C207" s="141">
        <f t="shared" si="15"/>
        <v>8</v>
      </c>
      <c r="D207" s="141">
        <f t="shared" si="16"/>
        <v>6</v>
      </c>
    </row>
    <row r="208" spans="1:4">
      <c r="A208" s="142">
        <v>44151</v>
      </c>
      <c r="B208" s="149">
        <v>7.8000000000000007</v>
      </c>
      <c r="C208" s="141">
        <f t="shared" si="15"/>
        <v>8</v>
      </c>
      <c r="D208" s="141">
        <f t="shared" si="16"/>
        <v>7</v>
      </c>
    </row>
    <row r="209" spans="1:4">
      <c r="A209" s="142">
        <v>44282</v>
      </c>
      <c r="B209" s="149">
        <v>7.8000000000000007</v>
      </c>
      <c r="C209" s="141">
        <f t="shared" si="15"/>
        <v>8</v>
      </c>
      <c r="D209" s="141">
        <f t="shared" si="16"/>
        <v>8</v>
      </c>
    </row>
    <row r="210" spans="1:4">
      <c r="A210" s="142">
        <v>44318</v>
      </c>
      <c r="B210" s="149">
        <v>7.8000000000000007</v>
      </c>
      <c r="C210" s="141">
        <f t="shared" si="15"/>
        <v>8</v>
      </c>
      <c r="D210" s="141">
        <f t="shared" si="16"/>
        <v>9</v>
      </c>
    </row>
    <row r="211" spans="1:4">
      <c r="A211" s="142">
        <v>44122</v>
      </c>
      <c r="B211" s="149">
        <v>7.8999999999999986</v>
      </c>
      <c r="C211" s="141">
        <f t="shared" si="15"/>
        <v>8</v>
      </c>
      <c r="D211" s="141">
        <f t="shared" si="16"/>
        <v>10</v>
      </c>
    </row>
    <row r="212" spans="1:4">
      <c r="A212" s="142">
        <v>44189</v>
      </c>
      <c r="B212" s="149">
        <v>7.8999999999999986</v>
      </c>
      <c r="C212" s="141">
        <f t="shared" si="15"/>
        <v>8</v>
      </c>
      <c r="D212" s="141">
        <f t="shared" si="16"/>
        <v>11</v>
      </c>
    </row>
    <row r="213" spans="1:4">
      <c r="A213" s="142">
        <v>44131</v>
      </c>
      <c r="B213" s="149">
        <v>8</v>
      </c>
      <c r="C213" s="141">
        <f t="shared" si="15"/>
        <v>8</v>
      </c>
      <c r="D213" s="141">
        <f t="shared" si="16"/>
        <v>12</v>
      </c>
    </row>
    <row r="214" spans="1:4">
      <c r="A214" s="142">
        <v>44305</v>
      </c>
      <c r="B214" s="149">
        <v>8</v>
      </c>
      <c r="C214" s="141">
        <f t="shared" si="15"/>
        <v>8</v>
      </c>
      <c r="D214" s="141">
        <f t="shared" si="16"/>
        <v>13</v>
      </c>
    </row>
    <row r="215" spans="1:4">
      <c r="A215" s="142">
        <v>44230</v>
      </c>
      <c r="B215" s="149">
        <v>8.1999999999999993</v>
      </c>
      <c r="C215" s="141">
        <f t="shared" si="15"/>
        <v>8</v>
      </c>
      <c r="D215" s="141">
        <f t="shared" si="16"/>
        <v>14</v>
      </c>
    </row>
    <row r="216" spans="1:4">
      <c r="A216" s="142">
        <v>44120</v>
      </c>
      <c r="B216" s="149">
        <v>8.3000000000000007</v>
      </c>
      <c r="C216" s="141">
        <f t="shared" si="15"/>
        <v>8</v>
      </c>
      <c r="D216" s="141">
        <f t="shared" si="16"/>
        <v>15</v>
      </c>
    </row>
    <row r="217" spans="1:4">
      <c r="A217" s="142">
        <v>44123</v>
      </c>
      <c r="B217" s="149">
        <v>8.3999999999999986</v>
      </c>
      <c r="C217" s="141">
        <f t="shared" si="15"/>
        <v>8</v>
      </c>
      <c r="D217" s="141">
        <f t="shared" si="16"/>
        <v>16</v>
      </c>
    </row>
    <row r="218" spans="1:4">
      <c r="A218" s="142">
        <v>44133</v>
      </c>
      <c r="B218" s="149">
        <v>8.3999999999999986</v>
      </c>
      <c r="C218" s="141">
        <f t="shared" si="15"/>
        <v>8</v>
      </c>
      <c r="D218" s="141">
        <f t="shared" si="16"/>
        <v>17</v>
      </c>
    </row>
    <row r="219" spans="1:4">
      <c r="A219" s="142">
        <v>44324</v>
      </c>
      <c r="B219" s="149">
        <v>8.5</v>
      </c>
      <c r="C219" s="141">
        <f t="shared" si="15"/>
        <v>9</v>
      </c>
      <c r="D219" s="141">
        <f t="shared" si="16"/>
        <v>1</v>
      </c>
    </row>
    <row r="220" spans="1:4">
      <c r="A220" s="142">
        <v>44149</v>
      </c>
      <c r="B220" s="149">
        <v>8.6000000000000014</v>
      </c>
      <c r="C220" s="141">
        <f t="shared" si="15"/>
        <v>9</v>
      </c>
      <c r="D220" s="141">
        <f t="shared" si="16"/>
        <v>2</v>
      </c>
    </row>
    <row r="221" spans="1:4">
      <c r="A221" s="142">
        <v>44129</v>
      </c>
      <c r="B221" s="149">
        <v>8.8000000000000007</v>
      </c>
      <c r="C221" s="141">
        <f t="shared" si="15"/>
        <v>9</v>
      </c>
      <c r="D221" s="141">
        <f t="shared" si="16"/>
        <v>3</v>
      </c>
    </row>
    <row r="222" spans="1:4">
      <c r="A222" s="142">
        <v>44125</v>
      </c>
      <c r="B222" s="149">
        <v>8.8999999999999986</v>
      </c>
      <c r="C222" s="141">
        <f t="shared" si="15"/>
        <v>9</v>
      </c>
      <c r="D222" s="141">
        <f t="shared" si="16"/>
        <v>4</v>
      </c>
    </row>
    <row r="223" spans="1:4">
      <c r="A223" s="142">
        <v>44153</v>
      </c>
      <c r="B223" s="149">
        <v>8.8999999999999986</v>
      </c>
      <c r="C223" s="141">
        <f t="shared" si="15"/>
        <v>9</v>
      </c>
      <c r="D223" s="141">
        <f t="shared" si="16"/>
        <v>5</v>
      </c>
    </row>
    <row r="224" spans="1:4">
      <c r="A224" s="142">
        <v>44171</v>
      </c>
      <c r="B224" s="149">
        <v>8.8999999999999986</v>
      </c>
      <c r="C224" s="141">
        <f t="shared" si="15"/>
        <v>9</v>
      </c>
      <c r="D224" s="141">
        <f t="shared" si="16"/>
        <v>6</v>
      </c>
    </row>
    <row r="225" spans="1:4">
      <c r="A225" s="142">
        <v>44101</v>
      </c>
      <c r="B225" s="149">
        <v>9.1000000000000014</v>
      </c>
      <c r="C225" s="141">
        <f t="shared" si="15"/>
        <v>9</v>
      </c>
      <c r="D225" s="141">
        <f t="shared" si="16"/>
        <v>7</v>
      </c>
    </row>
    <row r="226" spans="1:4">
      <c r="A226" s="142">
        <v>44139</v>
      </c>
      <c r="B226" s="149">
        <v>9.1000000000000014</v>
      </c>
      <c r="C226" s="141">
        <f t="shared" si="15"/>
        <v>9</v>
      </c>
      <c r="D226" s="141">
        <f t="shared" si="16"/>
        <v>8</v>
      </c>
    </row>
    <row r="227" spans="1:4">
      <c r="A227" s="142">
        <v>44119</v>
      </c>
      <c r="B227" s="149">
        <v>9.1999999999999993</v>
      </c>
      <c r="C227" s="141">
        <f t="shared" si="15"/>
        <v>9</v>
      </c>
      <c r="D227" s="141">
        <f t="shared" si="16"/>
        <v>9</v>
      </c>
    </row>
    <row r="228" spans="1:4">
      <c r="A228" s="142">
        <v>44152</v>
      </c>
      <c r="B228" s="149">
        <v>9.6000000000000014</v>
      </c>
      <c r="C228" s="141">
        <f t="shared" si="15"/>
        <v>10</v>
      </c>
      <c r="D228" s="141">
        <f t="shared" si="16"/>
        <v>1</v>
      </c>
    </row>
    <row r="229" spans="1:4">
      <c r="A229" s="142">
        <v>44296</v>
      </c>
      <c r="B229" s="149">
        <v>9.6000000000000014</v>
      </c>
      <c r="C229" s="141">
        <f t="shared" si="15"/>
        <v>10</v>
      </c>
      <c r="D229" s="141">
        <f t="shared" si="16"/>
        <v>2</v>
      </c>
    </row>
    <row r="230" spans="1:4">
      <c r="A230" s="142">
        <v>44306</v>
      </c>
      <c r="B230" s="149">
        <v>9.6999999999999993</v>
      </c>
      <c r="C230" s="141">
        <f t="shared" si="15"/>
        <v>10</v>
      </c>
      <c r="D230" s="141">
        <f t="shared" si="16"/>
        <v>3</v>
      </c>
    </row>
    <row r="231" spans="1:4">
      <c r="A231" s="142">
        <v>44136</v>
      </c>
      <c r="B231" s="149">
        <v>9.8000000000000007</v>
      </c>
      <c r="C231" s="141">
        <f t="shared" si="15"/>
        <v>10</v>
      </c>
      <c r="D231" s="141">
        <f t="shared" si="16"/>
        <v>4</v>
      </c>
    </row>
    <row r="232" spans="1:4">
      <c r="A232" s="142">
        <v>44317</v>
      </c>
      <c r="B232" s="149">
        <v>9.8000000000000007</v>
      </c>
      <c r="C232" s="141">
        <f t="shared" si="15"/>
        <v>10</v>
      </c>
      <c r="D232" s="141">
        <f t="shared" si="16"/>
        <v>5</v>
      </c>
    </row>
    <row r="233" spans="1:4">
      <c r="A233" s="142">
        <v>44321</v>
      </c>
      <c r="B233" s="149">
        <v>9.8999999999999986</v>
      </c>
      <c r="C233" s="141">
        <f t="shared" ref="C233:C296" si="17">ROUND(B233,0)</f>
        <v>10</v>
      </c>
      <c r="D233" s="141">
        <f t="shared" ref="D233:D296" si="18">IF(C233=C232,D232+1,1)</f>
        <v>6</v>
      </c>
    </row>
    <row r="234" spans="1:4">
      <c r="A234" s="142">
        <v>44307</v>
      </c>
      <c r="B234" s="149">
        <v>10.199999999999999</v>
      </c>
      <c r="C234" s="141">
        <f t="shared" si="17"/>
        <v>10</v>
      </c>
      <c r="D234" s="141">
        <f t="shared" si="18"/>
        <v>7</v>
      </c>
    </row>
    <row r="235" spans="1:4">
      <c r="A235" s="142">
        <v>44336</v>
      </c>
      <c r="B235" s="149">
        <v>10.199999999999999</v>
      </c>
      <c r="C235" s="141">
        <f t="shared" si="17"/>
        <v>10</v>
      </c>
      <c r="D235" s="141">
        <f t="shared" si="18"/>
        <v>8</v>
      </c>
    </row>
    <row r="236" spans="1:4">
      <c r="A236" s="142">
        <v>44134</v>
      </c>
      <c r="B236" s="149">
        <v>10.3</v>
      </c>
      <c r="C236" s="141">
        <f t="shared" si="17"/>
        <v>10</v>
      </c>
      <c r="D236" s="141">
        <f t="shared" si="18"/>
        <v>9</v>
      </c>
    </row>
    <row r="237" spans="1:4">
      <c r="A237" s="142">
        <v>44188</v>
      </c>
      <c r="B237" s="149">
        <v>10.399999999999999</v>
      </c>
      <c r="C237" s="141">
        <f t="shared" si="17"/>
        <v>10</v>
      </c>
      <c r="D237" s="141">
        <f t="shared" si="18"/>
        <v>10</v>
      </c>
    </row>
    <row r="238" spans="1:4">
      <c r="A238" s="142">
        <v>44281</v>
      </c>
      <c r="B238" s="149">
        <v>10.399999999999999</v>
      </c>
      <c r="C238" s="141">
        <f t="shared" si="17"/>
        <v>10</v>
      </c>
      <c r="D238" s="141">
        <f t="shared" si="18"/>
        <v>11</v>
      </c>
    </row>
    <row r="239" spans="1:4">
      <c r="A239" s="142">
        <v>44342</v>
      </c>
      <c r="B239" s="149">
        <v>10.399999999999999</v>
      </c>
      <c r="C239" s="141">
        <f t="shared" si="17"/>
        <v>10</v>
      </c>
      <c r="D239" s="141">
        <f t="shared" si="18"/>
        <v>12</v>
      </c>
    </row>
    <row r="240" spans="1:4">
      <c r="A240" s="142">
        <v>44103</v>
      </c>
      <c r="B240" s="149">
        <v>10.600000000000001</v>
      </c>
      <c r="C240" s="141">
        <f t="shared" si="17"/>
        <v>11</v>
      </c>
      <c r="D240" s="141">
        <f t="shared" si="18"/>
        <v>1</v>
      </c>
    </row>
    <row r="241" spans="1:4">
      <c r="A241" s="142">
        <v>44329</v>
      </c>
      <c r="B241" s="149">
        <v>10.600000000000001</v>
      </c>
      <c r="C241" s="141">
        <f t="shared" si="17"/>
        <v>11</v>
      </c>
      <c r="D241" s="141">
        <f t="shared" si="18"/>
        <v>2</v>
      </c>
    </row>
    <row r="242" spans="1:4">
      <c r="A242" s="142">
        <v>44335</v>
      </c>
      <c r="B242" s="149">
        <v>10.600000000000001</v>
      </c>
      <c r="C242" s="141">
        <f t="shared" si="17"/>
        <v>11</v>
      </c>
      <c r="D242" s="141">
        <f t="shared" si="18"/>
        <v>3</v>
      </c>
    </row>
    <row r="243" spans="1:4">
      <c r="A243" s="142">
        <v>44330</v>
      </c>
      <c r="B243" s="149">
        <v>10.7</v>
      </c>
      <c r="C243" s="141">
        <f t="shared" si="17"/>
        <v>11</v>
      </c>
      <c r="D243" s="141">
        <f t="shared" si="18"/>
        <v>4</v>
      </c>
    </row>
    <row r="244" spans="1:4">
      <c r="A244" s="142">
        <v>44346</v>
      </c>
      <c r="B244" s="149">
        <v>10.8</v>
      </c>
      <c r="C244" s="141">
        <f t="shared" si="17"/>
        <v>11</v>
      </c>
      <c r="D244" s="141">
        <f t="shared" si="18"/>
        <v>5</v>
      </c>
    </row>
    <row r="245" spans="1:4">
      <c r="A245" s="142">
        <v>44130</v>
      </c>
      <c r="B245" s="149">
        <v>10.899999999999999</v>
      </c>
      <c r="C245" s="141">
        <f t="shared" si="17"/>
        <v>11</v>
      </c>
      <c r="D245" s="141">
        <f t="shared" si="18"/>
        <v>6</v>
      </c>
    </row>
    <row r="246" spans="1:4">
      <c r="A246" s="142">
        <v>44314</v>
      </c>
      <c r="B246" s="149">
        <v>10.899999999999999</v>
      </c>
      <c r="C246" s="141">
        <f t="shared" si="17"/>
        <v>11</v>
      </c>
      <c r="D246" s="141">
        <f t="shared" si="18"/>
        <v>7</v>
      </c>
    </row>
    <row r="247" spans="1:4">
      <c r="A247" s="142">
        <v>44320</v>
      </c>
      <c r="B247" s="149">
        <v>11</v>
      </c>
      <c r="C247" s="141">
        <f t="shared" si="17"/>
        <v>11</v>
      </c>
      <c r="D247" s="141">
        <f t="shared" si="18"/>
        <v>8</v>
      </c>
    </row>
    <row r="248" spans="1:4">
      <c r="A248" s="142">
        <v>44114</v>
      </c>
      <c r="B248" s="149">
        <v>11.3</v>
      </c>
      <c r="C248" s="141">
        <f t="shared" si="17"/>
        <v>11</v>
      </c>
      <c r="D248" s="141">
        <f t="shared" si="18"/>
        <v>9</v>
      </c>
    </row>
    <row r="249" spans="1:4">
      <c r="A249" s="142">
        <v>44109</v>
      </c>
      <c r="B249" s="149">
        <v>11.399999999999999</v>
      </c>
      <c r="C249" s="141">
        <f t="shared" si="17"/>
        <v>11</v>
      </c>
      <c r="D249" s="141">
        <f t="shared" si="18"/>
        <v>10</v>
      </c>
    </row>
    <row r="250" spans="1:4">
      <c r="A250" s="142">
        <v>44126</v>
      </c>
      <c r="B250" s="149">
        <v>11.399999999999999</v>
      </c>
      <c r="C250" s="141">
        <f t="shared" si="17"/>
        <v>11</v>
      </c>
      <c r="D250" s="141">
        <f t="shared" si="18"/>
        <v>11</v>
      </c>
    </row>
    <row r="251" spans="1:4">
      <c r="A251" s="142">
        <v>44341</v>
      </c>
      <c r="B251" s="149">
        <v>11.399999999999999</v>
      </c>
      <c r="C251" s="141">
        <f t="shared" si="17"/>
        <v>11</v>
      </c>
      <c r="D251" s="141">
        <f t="shared" si="18"/>
        <v>12</v>
      </c>
    </row>
    <row r="252" spans="1:4">
      <c r="A252" s="142">
        <v>44104</v>
      </c>
      <c r="B252" s="149">
        <v>11.5</v>
      </c>
      <c r="C252" s="141">
        <f t="shared" si="17"/>
        <v>12</v>
      </c>
      <c r="D252" s="141">
        <f t="shared" si="18"/>
        <v>1</v>
      </c>
    </row>
    <row r="253" spans="1:4">
      <c r="A253" s="142">
        <v>44345</v>
      </c>
      <c r="B253" s="149">
        <v>11.5</v>
      </c>
      <c r="C253" s="141">
        <f t="shared" si="17"/>
        <v>12</v>
      </c>
      <c r="D253" s="141">
        <f t="shared" si="18"/>
        <v>2</v>
      </c>
    </row>
    <row r="254" spans="1:4">
      <c r="A254" s="142">
        <v>44316</v>
      </c>
      <c r="B254" s="149">
        <v>11.600000000000001</v>
      </c>
      <c r="C254" s="141">
        <f t="shared" si="17"/>
        <v>12</v>
      </c>
      <c r="D254" s="141">
        <f t="shared" si="18"/>
        <v>3</v>
      </c>
    </row>
    <row r="255" spans="1:4">
      <c r="A255" s="142">
        <v>44331</v>
      </c>
      <c r="B255" s="149">
        <v>11.600000000000001</v>
      </c>
      <c r="C255" s="141">
        <f t="shared" si="17"/>
        <v>12</v>
      </c>
      <c r="D255" s="141">
        <f t="shared" si="18"/>
        <v>4</v>
      </c>
    </row>
    <row r="256" spans="1:4">
      <c r="A256" s="142">
        <v>44339</v>
      </c>
      <c r="B256" s="149">
        <v>11.600000000000001</v>
      </c>
      <c r="C256" s="141">
        <f t="shared" si="17"/>
        <v>12</v>
      </c>
      <c r="D256" s="141">
        <f t="shared" si="18"/>
        <v>5</v>
      </c>
    </row>
    <row r="257" spans="1:4">
      <c r="A257" s="142">
        <v>44297</v>
      </c>
      <c r="B257" s="149">
        <v>11.7</v>
      </c>
      <c r="C257" s="141">
        <f t="shared" si="17"/>
        <v>12</v>
      </c>
      <c r="D257" s="141">
        <f t="shared" si="18"/>
        <v>6</v>
      </c>
    </row>
    <row r="258" spans="1:4">
      <c r="A258" s="142">
        <v>44284</v>
      </c>
      <c r="B258" s="149">
        <v>11.8</v>
      </c>
      <c r="C258" s="141">
        <f t="shared" si="17"/>
        <v>12</v>
      </c>
      <c r="D258" s="141">
        <f t="shared" si="18"/>
        <v>7</v>
      </c>
    </row>
    <row r="259" spans="1:4">
      <c r="A259" s="142">
        <v>44333</v>
      </c>
      <c r="B259" s="149">
        <v>11.899999999999999</v>
      </c>
      <c r="C259" s="141">
        <f t="shared" si="17"/>
        <v>12</v>
      </c>
      <c r="D259" s="141">
        <f t="shared" si="18"/>
        <v>8</v>
      </c>
    </row>
    <row r="260" spans="1:4">
      <c r="A260" s="142">
        <v>44343</v>
      </c>
      <c r="B260" s="149">
        <v>11.899999999999999</v>
      </c>
      <c r="C260" s="141">
        <f t="shared" si="17"/>
        <v>12</v>
      </c>
      <c r="D260" s="141">
        <f t="shared" si="18"/>
        <v>9</v>
      </c>
    </row>
    <row r="261" spans="1:4">
      <c r="A261" s="142">
        <v>44344</v>
      </c>
      <c r="B261" s="149">
        <v>11.899999999999999</v>
      </c>
      <c r="C261" s="141">
        <f t="shared" si="17"/>
        <v>12</v>
      </c>
      <c r="D261" s="141">
        <f t="shared" si="18"/>
        <v>10</v>
      </c>
    </row>
    <row r="262" spans="1:4">
      <c r="A262" s="142">
        <v>44105</v>
      </c>
      <c r="B262" s="149">
        <v>12.100000000000001</v>
      </c>
      <c r="C262" s="141">
        <f t="shared" si="17"/>
        <v>12</v>
      </c>
      <c r="D262" s="141">
        <f t="shared" si="18"/>
        <v>11</v>
      </c>
    </row>
    <row r="263" spans="1:4">
      <c r="A263" s="142">
        <v>44111</v>
      </c>
      <c r="B263" s="149">
        <v>12.100000000000001</v>
      </c>
      <c r="C263" s="141">
        <f t="shared" si="17"/>
        <v>12</v>
      </c>
      <c r="D263" s="141">
        <f t="shared" si="18"/>
        <v>12</v>
      </c>
    </row>
    <row r="264" spans="1:4">
      <c r="A264" s="142">
        <v>44110</v>
      </c>
      <c r="B264" s="149">
        <v>12.3</v>
      </c>
      <c r="C264" s="141">
        <f t="shared" si="17"/>
        <v>12</v>
      </c>
      <c r="D264" s="141">
        <f t="shared" si="18"/>
        <v>13</v>
      </c>
    </row>
    <row r="265" spans="1:4">
      <c r="A265" s="142">
        <v>44332</v>
      </c>
      <c r="B265" s="149">
        <v>12.399999999999999</v>
      </c>
      <c r="C265" s="141">
        <f t="shared" si="17"/>
        <v>12</v>
      </c>
      <c r="D265" s="141">
        <f t="shared" si="18"/>
        <v>14</v>
      </c>
    </row>
    <row r="266" spans="1:4">
      <c r="A266" s="142">
        <v>44334</v>
      </c>
      <c r="B266" s="149">
        <v>12.399999999999999</v>
      </c>
      <c r="C266" s="141">
        <f t="shared" si="17"/>
        <v>12</v>
      </c>
      <c r="D266" s="141">
        <f t="shared" si="18"/>
        <v>15</v>
      </c>
    </row>
    <row r="267" spans="1:4">
      <c r="A267" s="142">
        <v>44092</v>
      </c>
      <c r="B267" s="149">
        <v>12.5</v>
      </c>
      <c r="C267" s="141">
        <f t="shared" si="17"/>
        <v>13</v>
      </c>
      <c r="D267" s="141">
        <f t="shared" si="18"/>
        <v>1</v>
      </c>
    </row>
    <row r="268" spans="1:4">
      <c r="A268" s="142">
        <v>44112</v>
      </c>
      <c r="B268" s="149">
        <v>12.5</v>
      </c>
      <c r="C268" s="141">
        <f t="shared" si="17"/>
        <v>13</v>
      </c>
      <c r="D268" s="141">
        <f t="shared" si="18"/>
        <v>2</v>
      </c>
    </row>
    <row r="269" spans="1:4">
      <c r="A269" s="142">
        <v>44127</v>
      </c>
      <c r="B269" s="149">
        <v>12.5</v>
      </c>
      <c r="C269" s="141">
        <f t="shared" si="17"/>
        <v>13</v>
      </c>
      <c r="D269" s="141">
        <f t="shared" si="18"/>
        <v>3</v>
      </c>
    </row>
    <row r="270" spans="1:4">
      <c r="A270" s="142">
        <v>44337</v>
      </c>
      <c r="B270" s="149">
        <v>12.5</v>
      </c>
      <c r="C270" s="141">
        <f t="shared" si="17"/>
        <v>13</v>
      </c>
      <c r="D270" s="141">
        <f t="shared" si="18"/>
        <v>4</v>
      </c>
    </row>
    <row r="271" spans="1:4">
      <c r="A271" s="142">
        <v>44135</v>
      </c>
      <c r="B271" s="149">
        <v>12.600000000000001</v>
      </c>
      <c r="C271" s="141">
        <f t="shared" si="17"/>
        <v>13</v>
      </c>
      <c r="D271" s="141">
        <f t="shared" si="18"/>
        <v>5</v>
      </c>
    </row>
    <row r="272" spans="1:4">
      <c r="A272" s="142">
        <v>44340</v>
      </c>
      <c r="B272" s="149">
        <v>12.600000000000001</v>
      </c>
      <c r="C272" s="141">
        <f t="shared" si="17"/>
        <v>13</v>
      </c>
      <c r="D272" s="141">
        <f t="shared" si="18"/>
        <v>6</v>
      </c>
    </row>
    <row r="273" spans="1:4">
      <c r="A273" s="142">
        <v>44347</v>
      </c>
      <c r="B273" s="149">
        <v>12.600000000000001</v>
      </c>
      <c r="C273" s="141">
        <f t="shared" si="17"/>
        <v>13</v>
      </c>
      <c r="D273" s="141">
        <f t="shared" si="18"/>
        <v>7</v>
      </c>
    </row>
    <row r="274" spans="1:4">
      <c r="A274" s="142">
        <v>44315</v>
      </c>
      <c r="B274" s="149">
        <v>12.7</v>
      </c>
      <c r="C274" s="141">
        <f t="shared" si="17"/>
        <v>13</v>
      </c>
      <c r="D274" s="141">
        <f t="shared" si="18"/>
        <v>8</v>
      </c>
    </row>
    <row r="275" spans="1:4">
      <c r="A275" s="142">
        <v>44338</v>
      </c>
      <c r="B275" s="149">
        <v>12.899999999999999</v>
      </c>
      <c r="C275" s="141">
        <f t="shared" si="17"/>
        <v>13</v>
      </c>
      <c r="D275" s="141">
        <f t="shared" si="18"/>
        <v>9</v>
      </c>
    </row>
    <row r="276" spans="1:4">
      <c r="A276" s="142">
        <v>44106</v>
      </c>
      <c r="B276" s="149">
        <v>13.100000000000001</v>
      </c>
      <c r="C276" s="141">
        <f t="shared" si="17"/>
        <v>13</v>
      </c>
      <c r="D276" s="141">
        <f t="shared" si="18"/>
        <v>10</v>
      </c>
    </row>
    <row r="277" spans="1:4">
      <c r="A277" s="142">
        <v>44099</v>
      </c>
      <c r="B277" s="149">
        <v>13.2</v>
      </c>
      <c r="C277" s="141">
        <f t="shared" si="17"/>
        <v>13</v>
      </c>
      <c r="D277" s="141">
        <f t="shared" si="18"/>
        <v>11</v>
      </c>
    </row>
    <row r="278" spans="1:4">
      <c r="A278" s="142">
        <v>44128</v>
      </c>
      <c r="B278" s="149">
        <v>13.2</v>
      </c>
      <c r="C278" s="141">
        <f t="shared" si="17"/>
        <v>13</v>
      </c>
      <c r="D278" s="141">
        <f t="shared" si="18"/>
        <v>12</v>
      </c>
    </row>
    <row r="279" spans="1:4">
      <c r="A279" s="142">
        <v>44093</v>
      </c>
      <c r="B279" s="149">
        <v>13.3</v>
      </c>
      <c r="C279" s="141">
        <f t="shared" si="17"/>
        <v>13</v>
      </c>
      <c r="D279" s="141">
        <f t="shared" si="18"/>
        <v>13</v>
      </c>
    </row>
    <row r="280" spans="1:4">
      <c r="A280" s="142">
        <v>44285</v>
      </c>
      <c r="B280" s="149">
        <v>13.3</v>
      </c>
      <c r="C280" s="141">
        <f t="shared" si="17"/>
        <v>13</v>
      </c>
      <c r="D280" s="141">
        <f t="shared" si="18"/>
        <v>14</v>
      </c>
    </row>
    <row r="281" spans="1:4">
      <c r="A281" s="142">
        <v>44138</v>
      </c>
      <c r="B281" s="149">
        <v>13.399999999999999</v>
      </c>
      <c r="C281" s="141">
        <f t="shared" si="17"/>
        <v>13</v>
      </c>
      <c r="D281" s="141">
        <f t="shared" si="18"/>
        <v>15</v>
      </c>
    </row>
    <row r="282" spans="1:4">
      <c r="A282" s="142">
        <v>44360</v>
      </c>
      <c r="B282" s="149">
        <v>13.7</v>
      </c>
      <c r="C282" s="141">
        <f t="shared" si="17"/>
        <v>14</v>
      </c>
      <c r="D282" s="141">
        <f t="shared" si="18"/>
        <v>1</v>
      </c>
    </row>
    <row r="283" spans="1:4">
      <c r="A283" s="142">
        <v>44075</v>
      </c>
      <c r="B283" s="149">
        <v>13.8</v>
      </c>
      <c r="C283" s="141">
        <f t="shared" si="17"/>
        <v>14</v>
      </c>
      <c r="D283" s="141">
        <f t="shared" si="18"/>
        <v>2</v>
      </c>
    </row>
    <row r="284" spans="1:4">
      <c r="A284" s="142">
        <v>44076</v>
      </c>
      <c r="B284" s="149">
        <v>14</v>
      </c>
      <c r="C284" s="141">
        <f t="shared" si="17"/>
        <v>14</v>
      </c>
      <c r="D284" s="141">
        <f t="shared" si="18"/>
        <v>3</v>
      </c>
    </row>
    <row r="285" spans="1:4">
      <c r="A285" s="142">
        <v>44287</v>
      </c>
      <c r="B285" s="149">
        <v>14</v>
      </c>
      <c r="C285" s="141">
        <f t="shared" si="17"/>
        <v>14</v>
      </c>
      <c r="D285" s="141">
        <f t="shared" si="18"/>
        <v>4</v>
      </c>
    </row>
    <row r="286" spans="1:4">
      <c r="A286" s="142">
        <v>44108</v>
      </c>
      <c r="B286" s="149">
        <v>14.1</v>
      </c>
      <c r="C286" s="141">
        <f t="shared" si="17"/>
        <v>14</v>
      </c>
      <c r="D286" s="141">
        <f t="shared" si="18"/>
        <v>5</v>
      </c>
    </row>
    <row r="287" spans="1:4">
      <c r="A287" s="142">
        <v>44286</v>
      </c>
      <c r="B287" s="149">
        <v>14.2</v>
      </c>
      <c r="C287" s="141">
        <f t="shared" si="17"/>
        <v>14</v>
      </c>
      <c r="D287" s="141">
        <f t="shared" si="18"/>
        <v>6</v>
      </c>
    </row>
    <row r="288" spans="1:4">
      <c r="A288" s="142">
        <v>44348</v>
      </c>
      <c r="B288" s="149">
        <v>14.7</v>
      </c>
      <c r="C288" s="141">
        <f t="shared" si="17"/>
        <v>15</v>
      </c>
      <c r="D288" s="141">
        <f t="shared" si="18"/>
        <v>1</v>
      </c>
    </row>
    <row r="289" spans="1:4">
      <c r="A289" s="142">
        <v>44020</v>
      </c>
      <c r="B289" s="149">
        <v>14.8</v>
      </c>
      <c r="C289" s="141">
        <f t="shared" si="17"/>
        <v>15</v>
      </c>
      <c r="D289" s="141">
        <f t="shared" si="18"/>
        <v>2</v>
      </c>
    </row>
    <row r="290" spans="1:4">
      <c r="A290" s="142">
        <v>44325</v>
      </c>
      <c r="B290" s="149">
        <v>14.9</v>
      </c>
      <c r="C290" s="141">
        <f t="shared" si="17"/>
        <v>15</v>
      </c>
      <c r="D290" s="141">
        <f t="shared" si="18"/>
        <v>3</v>
      </c>
    </row>
    <row r="291" spans="1:4">
      <c r="A291" s="142">
        <v>44047</v>
      </c>
      <c r="B291" s="149">
        <v>15.1</v>
      </c>
      <c r="C291" s="141">
        <f t="shared" si="17"/>
        <v>15</v>
      </c>
      <c r="D291" s="141">
        <f t="shared" si="18"/>
        <v>4</v>
      </c>
    </row>
    <row r="292" spans="1:4">
      <c r="A292" s="142">
        <v>44328</v>
      </c>
      <c r="B292" s="149">
        <v>15.1</v>
      </c>
      <c r="C292" s="141">
        <f t="shared" si="17"/>
        <v>15</v>
      </c>
      <c r="D292" s="141">
        <f t="shared" si="18"/>
        <v>5</v>
      </c>
    </row>
    <row r="293" spans="1:4">
      <c r="A293" s="142">
        <v>44028</v>
      </c>
      <c r="B293" s="149">
        <v>15.2</v>
      </c>
      <c r="C293" s="141">
        <f t="shared" si="17"/>
        <v>15</v>
      </c>
      <c r="D293" s="141">
        <f t="shared" si="18"/>
        <v>6</v>
      </c>
    </row>
    <row r="294" spans="1:4">
      <c r="A294" s="142">
        <v>44113</v>
      </c>
      <c r="B294" s="149">
        <v>15.2</v>
      </c>
      <c r="C294" s="141">
        <f t="shared" si="17"/>
        <v>15</v>
      </c>
      <c r="D294" s="141">
        <f t="shared" si="18"/>
        <v>7</v>
      </c>
    </row>
    <row r="295" spans="1:4">
      <c r="A295" s="142">
        <v>44137</v>
      </c>
      <c r="B295" s="149">
        <v>15.2</v>
      </c>
      <c r="C295" s="141">
        <f t="shared" si="17"/>
        <v>15</v>
      </c>
      <c r="D295" s="141">
        <f t="shared" si="18"/>
        <v>8</v>
      </c>
    </row>
    <row r="296" spans="1:4">
      <c r="A296" s="142">
        <v>44019</v>
      </c>
      <c r="B296" s="149">
        <v>15.3</v>
      </c>
      <c r="C296" s="141">
        <f t="shared" si="17"/>
        <v>15</v>
      </c>
      <c r="D296" s="141">
        <f t="shared" si="18"/>
        <v>9</v>
      </c>
    </row>
    <row r="297" spans="1:4">
      <c r="A297" s="142">
        <v>44081</v>
      </c>
      <c r="B297" s="149">
        <v>15.3</v>
      </c>
      <c r="C297" s="141">
        <f t="shared" ref="C297:C360" si="19">ROUND(B297,0)</f>
        <v>15</v>
      </c>
      <c r="D297" s="141">
        <f t="shared" ref="D297:D360" si="20">IF(C297=C296,D296+1,1)</f>
        <v>10</v>
      </c>
    </row>
    <row r="298" spans="1:4">
      <c r="A298" s="142">
        <v>44024</v>
      </c>
      <c r="B298" s="149">
        <v>15.4</v>
      </c>
      <c r="C298" s="141">
        <f t="shared" si="19"/>
        <v>15</v>
      </c>
      <c r="D298" s="141">
        <f t="shared" si="20"/>
        <v>11</v>
      </c>
    </row>
    <row r="299" spans="1:4">
      <c r="A299" s="142">
        <v>44023</v>
      </c>
      <c r="B299" s="149">
        <v>15.5</v>
      </c>
      <c r="C299" s="141">
        <f t="shared" si="19"/>
        <v>16</v>
      </c>
      <c r="D299" s="141">
        <f t="shared" si="20"/>
        <v>1</v>
      </c>
    </row>
    <row r="300" spans="1:4">
      <c r="A300" s="142">
        <v>44094</v>
      </c>
      <c r="B300" s="149">
        <v>15.5</v>
      </c>
      <c r="C300" s="141">
        <f t="shared" si="19"/>
        <v>16</v>
      </c>
      <c r="D300" s="141">
        <f t="shared" si="20"/>
        <v>2</v>
      </c>
    </row>
    <row r="301" spans="1:4">
      <c r="A301" s="142">
        <v>44029</v>
      </c>
      <c r="B301" s="149">
        <v>15.7</v>
      </c>
      <c r="C301" s="141">
        <f t="shared" si="19"/>
        <v>16</v>
      </c>
      <c r="D301" s="141">
        <f t="shared" si="20"/>
        <v>3</v>
      </c>
    </row>
    <row r="302" spans="1:4">
      <c r="A302" s="142">
        <v>44074</v>
      </c>
      <c r="B302" s="149">
        <v>15.7</v>
      </c>
      <c r="C302" s="141">
        <f t="shared" si="19"/>
        <v>16</v>
      </c>
      <c r="D302" s="141">
        <f t="shared" si="20"/>
        <v>4</v>
      </c>
    </row>
    <row r="303" spans="1:4">
      <c r="A303" s="142">
        <v>44080</v>
      </c>
      <c r="B303" s="149">
        <v>15.7</v>
      </c>
      <c r="C303" s="141">
        <f t="shared" si="19"/>
        <v>16</v>
      </c>
      <c r="D303" s="141">
        <f t="shared" si="20"/>
        <v>5</v>
      </c>
    </row>
    <row r="304" spans="1:4">
      <c r="A304" s="142">
        <v>44361</v>
      </c>
      <c r="B304" s="149">
        <v>15.8</v>
      </c>
      <c r="C304" s="141">
        <f t="shared" si="19"/>
        <v>16</v>
      </c>
      <c r="D304" s="141">
        <f t="shared" si="20"/>
        <v>6</v>
      </c>
    </row>
    <row r="305" spans="1:4">
      <c r="A305" s="142">
        <v>44082</v>
      </c>
      <c r="B305" s="149">
        <v>16.100000000000001</v>
      </c>
      <c r="C305" s="141">
        <f t="shared" si="19"/>
        <v>16</v>
      </c>
      <c r="D305" s="141">
        <f t="shared" si="20"/>
        <v>7</v>
      </c>
    </row>
    <row r="306" spans="1:4">
      <c r="A306" s="142">
        <v>44085</v>
      </c>
      <c r="B306" s="149">
        <v>16.100000000000001</v>
      </c>
      <c r="C306" s="141">
        <f t="shared" si="19"/>
        <v>16</v>
      </c>
      <c r="D306" s="141">
        <f t="shared" si="20"/>
        <v>8</v>
      </c>
    </row>
    <row r="307" spans="1:4">
      <c r="A307" s="142">
        <v>44077</v>
      </c>
      <c r="B307" s="149">
        <v>16.2</v>
      </c>
      <c r="C307" s="141">
        <f t="shared" si="19"/>
        <v>16</v>
      </c>
      <c r="D307" s="141">
        <f t="shared" si="20"/>
        <v>9</v>
      </c>
    </row>
    <row r="308" spans="1:4">
      <c r="A308" s="142">
        <v>44025</v>
      </c>
      <c r="B308" s="149">
        <v>16.3</v>
      </c>
      <c r="C308" s="141">
        <f t="shared" si="19"/>
        <v>16</v>
      </c>
      <c r="D308" s="141">
        <f t="shared" si="20"/>
        <v>10</v>
      </c>
    </row>
    <row r="309" spans="1:4">
      <c r="A309" s="142">
        <v>44095</v>
      </c>
      <c r="B309" s="149">
        <v>16.399999999999999</v>
      </c>
      <c r="C309" s="141">
        <f t="shared" si="19"/>
        <v>16</v>
      </c>
      <c r="D309" s="141">
        <f t="shared" si="20"/>
        <v>11</v>
      </c>
    </row>
    <row r="310" spans="1:4">
      <c r="A310" s="142">
        <v>44073</v>
      </c>
      <c r="B310" s="149">
        <v>16.5</v>
      </c>
      <c r="C310" s="141">
        <f t="shared" si="19"/>
        <v>17</v>
      </c>
      <c r="D310" s="141">
        <f t="shared" si="20"/>
        <v>1</v>
      </c>
    </row>
    <row r="311" spans="1:4">
      <c r="A311" s="142">
        <v>44084</v>
      </c>
      <c r="B311" s="149">
        <v>16.5</v>
      </c>
      <c r="C311" s="141">
        <f t="shared" si="19"/>
        <v>17</v>
      </c>
      <c r="D311" s="141">
        <f t="shared" si="20"/>
        <v>2</v>
      </c>
    </row>
    <row r="312" spans="1:4">
      <c r="A312" s="142">
        <v>44046</v>
      </c>
      <c r="B312" s="149">
        <v>16.600000000000001</v>
      </c>
      <c r="C312" s="141">
        <f t="shared" si="19"/>
        <v>17</v>
      </c>
      <c r="D312" s="141">
        <f t="shared" si="20"/>
        <v>3</v>
      </c>
    </row>
    <row r="313" spans="1:4">
      <c r="A313" s="142">
        <v>44349</v>
      </c>
      <c r="B313" s="149">
        <v>16.7</v>
      </c>
      <c r="C313" s="141">
        <f t="shared" si="19"/>
        <v>17</v>
      </c>
      <c r="D313" s="141">
        <f t="shared" si="20"/>
        <v>4</v>
      </c>
    </row>
    <row r="314" spans="1:4">
      <c r="A314" s="142">
        <v>44091</v>
      </c>
      <c r="B314" s="149">
        <v>17</v>
      </c>
      <c r="C314" s="141">
        <f t="shared" si="19"/>
        <v>17</v>
      </c>
      <c r="D314" s="141">
        <f t="shared" si="20"/>
        <v>5</v>
      </c>
    </row>
    <row r="315" spans="1:4">
      <c r="A315" s="142">
        <v>44107</v>
      </c>
      <c r="B315" s="149">
        <v>17</v>
      </c>
      <c r="C315" s="141">
        <f t="shared" si="19"/>
        <v>17</v>
      </c>
      <c r="D315" s="141">
        <f t="shared" si="20"/>
        <v>6</v>
      </c>
    </row>
    <row r="316" spans="1:4">
      <c r="A316" s="142">
        <v>44372</v>
      </c>
      <c r="B316" s="149">
        <v>17.2</v>
      </c>
      <c r="C316" s="141">
        <f t="shared" si="19"/>
        <v>17</v>
      </c>
      <c r="D316" s="141">
        <f t="shared" si="20"/>
        <v>7</v>
      </c>
    </row>
    <row r="317" spans="1:4">
      <c r="A317" s="142">
        <v>44072</v>
      </c>
      <c r="B317" s="149">
        <v>17.3</v>
      </c>
      <c r="C317" s="141">
        <f t="shared" si="19"/>
        <v>17</v>
      </c>
      <c r="D317" s="141">
        <f t="shared" si="20"/>
        <v>8</v>
      </c>
    </row>
    <row r="318" spans="1:4">
      <c r="A318" s="142">
        <v>44030</v>
      </c>
      <c r="B318" s="149">
        <v>17.5</v>
      </c>
      <c r="C318" s="141">
        <f t="shared" si="19"/>
        <v>18</v>
      </c>
      <c r="D318" s="141">
        <f t="shared" si="20"/>
        <v>1</v>
      </c>
    </row>
    <row r="319" spans="1:4">
      <c r="A319" s="142">
        <v>44048</v>
      </c>
      <c r="B319" s="149">
        <v>17.7</v>
      </c>
      <c r="C319" s="141">
        <f t="shared" si="19"/>
        <v>18</v>
      </c>
      <c r="D319" s="141">
        <f t="shared" si="20"/>
        <v>2</v>
      </c>
    </row>
    <row r="320" spans="1:4">
      <c r="A320" s="142">
        <v>44071</v>
      </c>
      <c r="B320" s="149">
        <v>17.7</v>
      </c>
      <c r="C320" s="141">
        <f t="shared" si="19"/>
        <v>18</v>
      </c>
      <c r="D320" s="141">
        <f t="shared" si="20"/>
        <v>3</v>
      </c>
    </row>
    <row r="321" spans="1:4">
      <c r="A321" s="142">
        <v>44096</v>
      </c>
      <c r="B321" s="149">
        <v>17.8</v>
      </c>
      <c r="C321" s="141">
        <f t="shared" si="19"/>
        <v>18</v>
      </c>
      <c r="D321" s="141">
        <f t="shared" si="20"/>
        <v>4</v>
      </c>
    </row>
    <row r="322" spans="1:4">
      <c r="A322" s="142">
        <v>44098</v>
      </c>
      <c r="B322" s="149">
        <v>17.8</v>
      </c>
      <c r="C322" s="141">
        <f t="shared" si="19"/>
        <v>18</v>
      </c>
      <c r="D322" s="141">
        <f t="shared" si="20"/>
        <v>5</v>
      </c>
    </row>
    <row r="323" spans="1:4">
      <c r="A323" s="142">
        <v>44067</v>
      </c>
      <c r="B323" s="149">
        <v>18</v>
      </c>
      <c r="C323" s="141">
        <f t="shared" si="19"/>
        <v>18</v>
      </c>
      <c r="D323" s="141">
        <f t="shared" si="20"/>
        <v>6</v>
      </c>
    </row>
    <row r="324" spans="1:4">
      <c r="A324" s="142">
        <v>44070</v>
      </c>
      <c r="B324" s="149">
        <v>18</v>
      </c>
      <c r="C324" s="141">
        <f t="shared" si="19"/>
        <v>18</v>
      </c>
      <c r="D324" s="141">
        <f t="shared" si="20"/>
        <v>7</v>
      </c>
    </row>
    <row r="325" spans="1:4">
      <c r="A325" s="142">
        <v>44097</v>
      </c>
      <c r="B325" s="149">
        <v>18</v>
      </c>
      <c r="C325" s="141">
        <f t="shared" si="19"/>
        <v>18</v>
      </c>
      <c r="D325" s="141">
        <f t="shared" si="20"/>
        <v>8</v>
      </c>
    </row>
    <row r="326" spans="1:4">
      <c r="A326" s="142">
        <v>44357</v>
      </c>
      <c r="B326" s="149">
        <v>18</v>
      </c>
      <c r="C326" s="141">
        <f t="shared" si="19"/>
        <v>18</v>
      </c>
      <c r="D326" s="141">
        <f t="shared" si="20"/>
        <v>9</v>
      </c>
    </row>
    <row r="327" spans="1:4">
      <c r="A327" s="142">
        <v>44068</v>
      </c>
      <c r="B327" s="149">
        <v>18.100000000000001</v>
      </c>
      <c r="C327" s="141">
        <f t="shared" si="19"/>
        <v>18</v>
      </c>
      <c r="D327" s="141">
        <f t="shared" si="20"/>
        <v>10</v>
      </c>
    </row>
    <row r="328" spans="1:4">
      <c r="A328" s="142">
        <v>44350</v>
      </c>
      <c r="B328" s="149">
        <v>18.100000000000001</v>
      </c>
      <c r="C328" s="141">
        <f t="shared" si="19"/>
        <v>18</v>
      </c>
      <c r="D328" s="141">
        <f t="shared" si="20"/>
        <v>11</v>
      </c>
    </row>
    <row r="329" spans="1:4">
      <c r="A329" s="142">
        <v>44021</v>
      </c>
      <c r="B329" s="149">
        <v>18.2</v>
      </c>
      <c r="C329" s="141">
        <f t="shared" si="19"/>
        <v>18</v>
      </c>
      <c r="D329" s="141">
        <f t="shared" si="20"/>
        <v>12</v>
      </c>
    </row>
    <row r="330" spans="1:4">
      <c r="A330" s="142">
        <v>44026</v>
      </c>
      <c r="B330" s="149">
        <v>18.2</v>
      </c>
      <c r="C330" s="141">
        <f t="shared" si="19"/>
        <v>18</v>
      </c>
      <c r="D330" s="141">
        <f t="shared" si="20"/>
        <v>13</v>
      </c>
    </row>
    <row r="331" spans="1:4">
      <c r="A331" s="142">
        <v>44027</v>
      </c>
      <c r="B331" s="149">
        <v>18.2</v>
      </c>
      <c r="C331" s="141">
        <f t="shared" si="19"/>
        <v>18</v>
      </c>
      <c r="D331" s="141">
        <f t="shared" si="20"/>
        <v>14</v>
      </c>
    </row>
    <row r="332" spans="1:4">
      <c r="A332" s="142">
        <v>44370</v>
      </c>
      <c r="B332" s="149">
        <v>18.3</v>
      </c>
      <c r="C332" s="141">
        <f t="shared" si="19"/>
        <v>18</v>
      </c>
      <c r="D332" s="141">
        <f t="shared" si="20"/>
        <v>15</v>
      </c>
    </row>
    <row r="333" spans="1:4">
      <c r="A333" s="142">
        <v>44086</v>
      </c>
      <c r="B333" s="149">
        <v>18.399999999999999</v>
      </c>
      <c r="C333" s="141">
        <f t="shared" si="19"/>
        <v>18</v>
      </c>
      <c r="D333" s="141">
        <f t="shared" si="20"/>
        <v>16</v>
      </c>
    </row>
    <row r="334" spans="1:4">
      <c r="A334" s="142">
        <v>44377</v>
      </c>
      <c r="B334" s="149">
        <v>18.5</v>
      </c>
      <c r="C334" s="141">
        <f t="shared" si="19"/>
        <v>19</v>
      </c>
      <c r="D334" s="141">
        <f t="shared" si="20"/>
        <v>1</v>
      </c>
    </row>
    <row r="335" spans="1:4">
      <c r="A335" s="142">
        <v>44034</v>
      </c>
      <c r="B335" s="149">
        <v>18.600000000000001</v>
      </c>
      <c r="C335" s="141">
        <f t="shared" si="19"/>
        <v>19</v>
      </c>
      <c r="D335" s="141">
        <f t="shared" si="20"/>
        <v>2</v>
      </c>
    </row>
    <row r="336" spans="1:4">
      <c r="A336" s="142">
        <v>44035</v>
      </c>
      <c r="B336" s="149">
        <v>18.600000000000001</v>
      </c>
      <c r="C336" s="141">
        <f t="shared" si="19"/>
        <v>19</v>
      </c>
      <c r="D336" s="141">
        <f t="shared" si="20"/>
        <v>3</v>
      </c>
    </row>
    <row r="337" spans="1:4">
      <c r="A337" s="142">
        <v>44369</v>
      </c>
      <c r="B337" s="149">
        <v>18.7</v>
      </c>
      <c r="C337" s="141">
        <f t="shared" si="19"/>
        <v>19</v>
      </c>
      <c r="D337" s="141">
        <f t="shared" si="20"/>
        <v>4</v>
      </c>
    </row>
    <row r="338" spans="1:4">
      <c r="A338" s="142">
        <v>44083</v>
      </c>
      <c r="B338" s="149">
        <v>18.8</v>
      </c>
      <c r="C338" s="141">
        <f t="shared" si="19"/>
        <v>19</v>
      </c>
      <c r="D338" s="141">
        <f t="shared" si="20"/>
        <v>5</v>
      </c>
    </row>
    <row r="339" spans="1:4">
      <c r="A339" s="142">
        <v>44373</v>
      </c>
      <c r="B339" s="149">
        <v>18.8</v>
      </c>
      <c r="C339" s="141">
        <f t="shared" si="19"/>
        <v>19</v>
      </c>
      <c r="D339" s="141">
        <f t="shared" si="20"/>
        <v>6</v>
      </c>
    </row>
    <row r="340" spans="1:4">
      <c r="A340" s="142">
        <v>44326</v>
      </c>
      <c r="B340" s="149">
        <v>18.899999999999999</v>
      </c>
      <c r="C340" s="141">
        <f t="shared" si="19"/>
        <v>19</v>
      </c>
      <c r="D340" s="141">
        <f t="shared" si="20"/>
        <v>7</v>
      </c>
    </row>
    <row r="341" spans="1:4">
      <c r="A341" s="142">
        <v>44015</v>
      </c>
      <c r="B341" s="149">
        <v>19.2</v>
      </c>
      <c r="C341" s="141">
        <f t="shared" si="19"/>
        <v>19</v>
      </c>
      <c r="D341" s="141">
        <f t="shared" si="20"/>
        <v>8</v>
      </c>
    </row>
    <row r="342" spans="1:4">
      <c r="A342" s="142">
        <v>44356</v>
      </c>
      <c r="B342" s="149">
        <v>19.3</v>
      </c>
      <c r="C342" s="141">
        <f t="shared" si="19"/>
        <v>19</v>
      </c>
      <c r="D342" s="141">
        <f t="shared" si="20"/>
        <v>9</v>
      </c>
    </row>
    <row r="343" spans="1:4">
      <c r="A343" s="142">
        <v>44066</v>
      </c>
      <c r="B343" s="149">
        <v>19.399999999999999</v>
      </c>
      <c r="C343" s="141">
        <f t="shared" si="19"/>
        <v>19</v>
      </c>
      <c r="D343" s="141">
        <f t="shared" si="20"/>
        <v>10</v>
      </c>
    </row>
    <row r="344" spans="1:4">
      <c r="A344" s="142">
        <v>44359</v>
      </c>
      <c r="B344" s="149">
        <v>19.399999999999999</v>
      </c>
      <c r="C344" s="141">
        <f t="shared" si="19"/>
        <v>19</v>
      </c>
      <c r="D344" s="141">
        <f t="shared" si="20"/>
        <v>11</v>
      </c>
    </row>
    <row r="345" spans="1:4">
      <c r="A345" s="142">
        <v>44045</v>
      </c>
      <c r="B345" s="149">
        <v>19.5</v>
      </c>
      <c r="C345" s="141">
        <f t="shared" si="19"/>
        <v>20</v>
      </c>
      <c r="D345" s="141">
        <f t="shared" si="20"/>
        <v>1</v>
      </c>
    </row>
    <row r="346" spans="1:4">
      <c r="A346" s="142">
        <v>44061</v>
      </c>
      <c r="B346" s="149">
        <v>19.5</v>
      </c>
      <c r="C346" s="141">
        <f t="shared" si="19"/>
        <v>20</v>
      </c>
      <c r="D346" s="141">
        <f t="shared" si="20"/>
        <v>2</v>
      </c>
    </row>
    <row r="347" spans="1:4">
      <c r="A347" s="142">
        <v>44371</v>
      </c>
      <c r="B347" s="149">
        <v>19.600000000000001</v>
      </c>
      <c r="C347" s="141">
        <f t="shared" si="19"/>
        <v>20</v>
      </c>
      <c r="D347" s="141">
        <f t="shared" si="20"/>
        <v>3</v>
      </c>
    </row>
    <row r="348" spans="1:4">
      <c r="A348" s="142">
        <v>44016</v>
      </c>
      <c r="B348" s="149">
        <v>19.7</v>
      </c>
      <c r="C348" s="141">
        <f t="shared" si="19"/>
        <v>20</v>
      </c>
      <c r="D348" s="141">
        <f t="shared" si="20"/>
        <v>4</v>
      </c>
    </row>
    <row r="349" spans="1:4">
      <c r="A349" s="142">
        <v>44358</v>
      </c>
      <c r="B349" s="149">
        <v>19.7</v>
      </c>
      <c r="C349" s="141">
        <f t="shared" si="19"/>
        <v>20</v>
      </c>
      <c r="D349" s="141">
        <f t="shared" si="20"/>
        <v>5</v>
      </c>
    </row>
    <row r="350" spans="1:4">
      <c r="A350" s="142">
        <v>44374</v>
      </c>
      <c r="B350" s="149">
        <v>19.7</v>
      </c>
      <c r="C350" s="141">
        <f t="shared" si="19"/>
        <v>20</v>
      </c>
      <c r="D350" s="141">
        <f t="shared" si="20"/>
        <v>6</v>
      </c>
    </row>
    <row r="351" spans="1:4">
      <c r="A351" s="142">
        <v>44087</v>
      </c>
      <c r="B351" s="149">
        <v>19.8</v>
      </c>
      <c r="C351" s="141">
        <f t="shared" si="19"/>
        <v>20</v>
      </c>
      <c r="D351" s="141">
        <f t="shared" si="20"/>
        <v>7</v>
      </c>
    </row>
    <row r="352" spans="1:4">
      <c r="A352" s="142">
        <v>44354</v>
      </c>
      <c r="B352" s="149">
        <v>19.8</v>
      </c>
      <c r="C352" s="141">
        <f t="shared" si="19"/>
        <v>20</v>
      </c>
      <c r="D352" s="141">
        <f t="shared" si="20"/>
        <v>8</v>
      </c>
    </row>
    <row r="353" spans="1:4">
      <c r="A353" s="142">
        <v>44033</v>
      </c>
      <c r="B353" s="149">
        <v>19.899999999999999</v>
      </c>
      <c r="C353" s="141">
        <f t="shared" si="19"/>
        <v>20</v>
      </c>
      <c r="D353" s="141">
        <f t="shared" si="20"/>
        <v>9</v>
      </c>
    </row>
    <row r="354" spans="1:4">
      <c r="A354" s="142">
        <v>44038</v>
      </c>
      <c r="B354" s="149">
        <v>19.899999999999999</v>
      </c>
      <c r="C354" s="141">
        <f t="shared" si="19"/>
        <v>20</v>
      </c>
      <c r="D354" s="141">
        <f t="shared" si="20"/>
        <v>10</v>
      </c>
    </row>
    <row r="355" spans="1:4">
      <c r="A355" s="142">
        <v>44062</v>
      </c>
      <c r="B355" s="149">
        <v>19.899999999999999</v>
      </c>
      <c r="C355" s="141">
        <f t="shared" si="19"/>
        <v>20</v>
      </c>
      <c r="D355" s="141">
        <f t="shared" si="20"/>
        <v>11</v>
      </c>
    </row>
    <row r="356" spans="1:4">
      <c r="A356" s="142">
        <v>44079</v>
      </c>
      <c r="B356" s="149">
        <v>19.899999999999999</v>
      </c>
      <c r="C356" s="141">
        <f t="shared" si="19"/>
        <v>20</v>
      </c>
      <c r="D356" s="141">
        <f t="shared" si="20"/>
        <v>12</v>
      </c>
    </row>
    <row r="357" spans="1:4">
      <c r="A357" s="142">
        <v>44018</v>
      </c>
      <c r="B357" s="149">
        <v>20</v>
      </c>
      <c r="C357" s="141">
        <f t="shared" si="19"/>
        <v>20</v>
      </c>
      <c r="D357" s="141">
        <f t="shared" si="20"/>
        <v>13</v>
      </c>
    </row>
    <row r="358" spans="1:4">
      <c r="A358" s="142">
        <v>44078</v>
      </c>
      <c r="B358" s="149">
        <v>20.100000000000001</v>
      </c>
      <c r="C358" s="141">
        <f t="shared" si="19"/>
        <v>20</v>
      </c>
      <c r="D358" s="141">
        <f t="shared" si="20"/>
        <v>14</v>
      </c>
    </row>
    <row r="359" spans="1:4">
      <c r="A359" s="142">
        <v>44351</v>
      </c>
      <c r="B359" s="149">
        <v>20.100000000000001</v>
      </c>
      <c r="C359" s="141">
        <f t="shared" si="19"/>
        <v>20</v>
      </c>
      <c r="D359" s="141">
        <f t="shared" si="20"/>
        <v>15</v>
      </c>
    </row>
    <row r="360" spans="1:4">
      <c r="A360" s="142">
        <v>44036</v>
      </c>
      <c r="B360" s="149">
        <v>20.3</v>
      </c>
      <c r="C360" s="141">
        <f t="shared" si="19"/>
        <v>20</v>
      </c>
      <c r="D360" s="141">
        <f t="shared" si="20"/>
        <v>16</v>
      </c>
    </row>
    <row r="361" spans="1:4">
      <c r="A361" s="142">
        <v>44049</v>
      </c>
      <c r="B361" s="149">
        <v>20.3</v>
      </c>
      <c r="C361" s="141">
        <f t="shared" ref="C361:C424" si="21">ROUND(B361,0)</f>
        <v>20</v>
      </c>
      <c r="D361" s="141">
        <f t="shared" ref="D361:D424" si="22">IF(C361=C360,D360+1,1)</f>
        <v>17</v>
      </c>
    </row>
    <row r="362" spans="1:4">
      <c r="A362" s="142">
        <v>44362</v>
      </c>
      <c r="B362" s="149">
        <v>20.399999999999999</v>
      </c>
      <c r="C362" s="141">
        <f t="shared" si="21"/>
        <v>20</v>
      </c>
      <c r="D362" s="141">
        <f t="shared" si="22"/>
        <v>18</v>
      </c>
    </row>
    <row r="363" spans="1:4">
      <c r="A363" s="142">
        <v>44353</v>
      </c>
      <c r="B363" s="149">
        <v>20.5</v>
      </c>
      <c r="C363" s="141">
        <f t="shared" si="21"/>
        <v>21</v>
      </c>
      <c r="D363" s="141">
        <f t="shared" si="22"/>
        <v>1</v>
      </c>
    </row>
    <row r="364" spans="1:4">
      <c r="A364" s="142">
        <v>44031</v>
      </c>
      <c r="B364" s="149">
        <v>20.7</v>
      </c>
      <c r="C364" s="141">
        <f t="shared" si="21"/>
        <v>21</v>
      </c>
      <c r="D364" s="141">
        <f t="shared" si="22"/>
        <v>2</v>
      </c>
    </row>
    <row r="365" spans="1:4">
      <c r="A365" s="142">
        <v>44058</v>
      </c>
      <c r="B365" s="149">
        <v>20.7</v>
      </c>
      <c r="C365" s="141">
        <f t="shared" si="21"/>
        <v>21</v>
      </c>
      <c r="D365" s="141">
        <f t="shared" si="22"/>
        <v>3</v>
      </c>
    </row>
    <row r="366" spans="1:4">
      <c r="A366" s="142">
        <v>44014</v>
      </c>
      <c r="B366" s="149">
        <v>20.8</v>
      </c>
      <c r="C366" s="141">
        <f t="shared" si="21"/>
        <v>21</v>
      </c>
      <c r="D366" s="141">
        <f t="shared" si="22"/>
        <v>4</v>
      </c>
    </row>
    <row r="367" spans="1:4">
      <c r="A367" s="142">
        <v>44042</v>
      </c>
      <c r="B367" s="149">
        <v>20.9</v>
      </c>
      <c r="C367" s="141">
        <f t="shared" si="21"/>
        <v>21</v>
      </c>
      <c r="D367" s="141">
        <f t="shared" si="22"/>
        <v>5</v>
      </c>
    </row>
    <row r="368" spans="1:4">
      <c r="A368" s="142">
        <v>44088</v>
      </c>
      <c r="B368" s="149">
        <v>20.9</v>
      </c>
      <c r="C368" s="141">
        <f t="shared" si="21"/>
        <v>21</v>
      </c>
      <c r="D368" s="141">
        <f t="shared" si="22"/>
        <v>6</v>
      </c>
    </row>
    <row r="369" spans="1:4">
      <c r="A369" s="142">
        <v>44327</v>
      </c>
      <c r="B369" s="149">
        <v>21</v>
      </c>
      <c r="C369" s="141">
        <f t="shared" si="21"/>
        <v>21</v>
      </c>
      <c r="D369" s="141">
        <f t="shared" si="22"/>
        <v>7</v>
      </c>
    </row>
    <row r="370" spans="1:4">
      <c r="A370" s="142">
        <v>44352</v>
      </c>
      <c r="B370" s="149">
        <v>21</v>
      </c>
      <c r="C370" s="141">
        <f t="shared" si="21"/>
        <v>21</v>
      </c>
      <c r="D370" s="141">
        <f t="shared" si="22"/>
        <v>8</v>
      </c>
    </row>
    <row r="371" spans="1:4">
      <c r="A371" s="142">
        <v>44355</v>
      </c>
      <c r="B371" s="149">
        <v>21</v>
      </c>
      <c r="C371" s="141">
        <f t="shared" si="21"/>
        <v>21</v>
      </c>
      <c r="D371" s="141">
        <f t="shared" si="22"/>
        <v>9</v>
      </c>
    </row>
    <row r="372" spans="1:4">
      <c r="A372" s="142">
        <v>44039</v>
      </c>
      <c r="B372" s="149">
        <v>21.3</v>
      </c>
      <c r="C372" s="141">
        <f t="shared" si="21"/>
        <v>21</v>
      </c>
      <c r="D372" s="141">
        <f t="shared" si="22"/>
        <v>10</v>
      </c>
    </row>
    <row r="373" spans="1:4">
      <c r="A373" s="142">
        <v>44060</v>
      </c>
      <c r="B373" s="149">
        <v>21.3</v>
      </c>
      <c r="C373" s="141">
        <f t="shared" si="21"/>
        <v>21</v>
      </c>
      <c r="D373" s="141">
        <f t="shared" si="22"/>
        <v>11</v>
      </c>
    </row>
    <row r="374" spans="1:4">
      <c r="A374" s="142">
        <v>44375</v>
      </c>
      <c r="B374" s="149">
        <v>21.4</v>
      </c>
      <c r="C374" s="141">
        <f t="shared" si="21"/>
        <v>21</v>
      </c>
      <c r="D374" s="141">
        <f t="shared" si="22"/>
        <v>12</v>
      </c>
    </row>
    <row r="375" spans="1:4">
      <c r="A375" s="142">
        <v>44090</v>
      </c>
      <c r="B375" s="149">
        <v>21.5</v>
      </c>
      <c r="C375" s="141">
        <f t="shared" si="21"/>
        <v>22</v>
      </c>
      <c r="D375" s="141">
        <f t="shared" si="22"/>
        <v>1</v>
      </c>
    </row>
    <row r="376" spans="1:4">
      <c r="A376" s="142">
        <v>44069</v>
      </c>
      <c r="B376" s="149">
        <v>21.6</v>
      </c>
      <c r="C376" s="141">
        <f t="shared" si="21"/>
        <v>22</v>
      </c>
      <c r="D376" s="141">
        <f t="shared" si="22"/>
        <v>2</v>
      </c>
    </row>
    <row r="377" spans="1:4">
      <c r="A377" s="142">
        <v>44057</v>
      </c>
      <c r="B377" s="149">
        <v>21.9</v>
      </c>
      <c r="C377" s="141">
        <f t="shared" si="21"/>
        <v>22</v>
      </c>
      <c r="D377" s="141">
        <f t="shared" si="22"/>
        <v>3</v>
      </c>
    </row>
    <row r="378" spans="1:4">
      <c r="A378" s="142">
        <v>44059</v>
      </c>
      <c r="B378" s="149">
        <v>21.9</v>
      </c>
      <c r="C378" s="141">
        <f t="shared" si="21"/>
        <v>22</v>
      </c>
      <c r="D378" s="141">
        <f t="shared" si="22"/>
        <v>4</v>
      </c>
    </row>
    <row r="379" spans="1:4">
      <c r="A379" s="142">
        <v>44063</v>
      </c>
      <c r="B379" s="149">
        <v>21.9</v>
      </c>
      <c r="C379" s="141">
        <f t="shared" si="21"/>
        <v>22</v>
      </c>
      <c r="D379" s="141">
        <f t="shared" si="22"/>
        <v>5</v>
      </c>
    </row>
    <row r="380" spans="1:4">
      <c r="A380" s="142">
        <v>44376</v>
      </c>
      <c r="B380" s="149">
        <v>21.9</v>
      </c>
      <c r="C380" s="141">
        <f t="shared" si="21"/>
        <v>22</v>
      </c>
      <c r="D380" s="141">
        <f t="shared" si="22"/>
        <v>6</v>
      </c>
    </row>
    <row r="381" spans="1:4">
      <c r="A381" s="142">
        <v>44032</v>
      </c>
      <c r="B381" s="149">
        <v>22</v>
      </c>
      <c r="C381" s="141">
        <f t="shared" si="21"/>
        <v>22</v>
      </c>
      <c r="D381" s="141">
        <f t="shared" si="22"/>
        <v>7</v>
      </c>
    </row>
    <row r="382" spans="1:4">
      <c r="A382" s="142">
        <v>44037</v>
      </c>
      <c r="B382" s="149">
        <v>22</v>
      </c>
      <c r="C382" s="141">
        <f t="shared" si="21"/>
        <v>22</v>
      </c>
      <c r="D382" s="141">
        <f t="shared" si="22"/>
        <v>8</v>
      </c>
    </row>
    <row r="383" spans="1:4">
      <c r="A383" s="142">
        <v>44043</v>
      </c>
      <c r="B383" s="149">
        <v>22</v>
      </c>
      <c r="C383" s="141">
        <f t="shared" si="21"/>
        <v>22</v>
      </c>
      <c r="D383" s="141">
        <f t="shared" si="22"/>
        <v>9</v>
      </c>
    </row>
    <row r="384" spans="1:4">
      <c r="A384" s="142">
        <v>44065</v>
      </c>
      <c r="B384" s="149">
        <v>22</v>
      </c>
      <c r="C384" s="141">
        <f t="shared" si="21"/>
        <v>22</v>
      </c>
      <c r="D384" s="141">
        <f t="shared" si="22"/>
        <v>10</v>
      </c>
    </row>
    <row r="385" spans="1:4">
      <c r="A385" s="142">
        <v>44089</v>
      </c>
      <c r="B385" s="149">
        <v>22.1</v>
      </c>
      <c r="C385" s="141">
        <f t="shared" si="21"/>
        <v>22</v>
      </c>
      <c r="D385" s="141">
        <f t="shared" si="22"/>
        <v>11</v>
      </c>
    </row>
    <row r="386" spans="1:4">
      <c r="A386" s="142">
        <v>44017</v>
      </c>
      <c r="B386" s="149">
        <v>22.4</v>
      </c>
      <c r="C386" s="141">
        <f t="shared" si="21"/>
        <v>22</v>
      </c>
      <c r="D386" s="141">
        <f t="shared" si="22"/>
        <v>12</v>
      </c>
    </row>
    <row r="387" spans="1:4">
      <c r="A387" s="142">
        <v>44041</v>
      </c>
      <c r="B387" s="149">
        <v>22.4</v>
      </c>
      <c r="C387" s="141">
        <f t="shared" si="21"/>
        <v>22</v>
      </c>
      <c r="D387" s="141">
        <f t="shared" si="22"/>
        <v>13</v>
      </c>
    </row>
    <row r="388" spans="1:4">
      <c r="A388" s="142">
        <v>44013</v>
      </c>
      <c r="B388" s="149">
        <v>22.5</v>
      </c>
      <c r="C388" s="141">
        <f t="shared" si="21"/>
        <v>23</v>
      </c>
      <c r="D388" s="141">
        <f t="shared" si="22"/>
        <v>1</v>
      </c>
    </row>
    <row r="389" spans="1:4">
      <c r="A389" s="142">
        <v>44044</v>
      </c>
      <c r="B389" s="149">
        <v>22.6</v>
      </c>
      <c r="C389" s="141">
        <f t="shared" si="21"/>
        <v>23</v>
      </c>
      <c r="D389" s="141">
        <f t="shared" si="22"/>
        <v>2</v>
      </c>
    </row>
    <row r="390" spans="1:4">
      <c r="A390" s="142">
        <v>44363</v>
      </c>
      <c r="B390" s="149">
        <v>22.6</v>
      </c>
      <c r="C390" s="141">
        <f t="shared" si="21"/>
        <v>23</v>
      </c>
      <c r="D390" s="141">
        <f t="shared" si="22"/>
        <v>3</v>
      </c>
    </row>
    <row r="391" spans="1:4">
      <c r="A391" s="142">
        <v>44053</v>
      </c>
      <c r="B391" s="149">
        <v>22.7</v>
      </c>
      <c r="C391" s="141">
        <f t="shared" si="21"/>
        <v>23</v>
      </c>
      <c r="D391" s="141">
        <f t="shared" si="22"/>
        <v>4</v>
      </c>
    </row>
    <row r="392" spans="1:4">
      <c r="A392" s="142">
        <v>44054</v>
      </c>
      <c r="B392" s="149">
        <v>22.9</v>
      </c>
      <c r="C392" s="141">
        <f t="shared" si="21"/>
        <v>23</v>
      </c>
      <c r="D392" s="141">
        <f t="shared" si="22"/>
        <v>5</v>
      </c>
    </row>
    <row r="393" spans="1:4">
      <c r="A393" s="142">
        <v>44050</v>
      </c>
      <c r="B393" s="149">
        <v>23.2</v>
      </c>
      <c r="C393" s="141">
        <f t="shared" si="21"/>
        <v>23</v>
      </c>
      <c r="D393" s="141">
        <f t="shared" si="22"/>
        <v>6</v>
      </c>
    </row>
    <row r="394" spans="1:4">
      <c r="A394" s="142">
        <v>44364</v>
      </c>
      <c r="B394" s="149">
        <v>23.5</v>
      </c>
      <c r="C394" s="141">
        <f t="shared" si="21"/>
        <v>24</v>
      </c>
      <c r="D394" s="141">
        <f t="shared" si="22"/>
        <v>1</v>
      </c>
    </row>
    <row r="395" spans="1:4">
      <c r="A395" s="142">
        <v>44055</v>
      </c>
      <c r="B395" s="149">
        <v>23.8</v>
      </c>
      <c r="C395" s="141">
        <f t="shared" si="21"/>
        <v>24</v>
      </c>
      <c r="D395" s="141">
        <f t="shared" si="22"/>
        <v>2</v>
      </c>
    </row>
    <row r="396" spans="1:4">
      <c r="A396" s="142">
        <v>44022</v>
      </c>
      <c r="B396" s="149">
        <v>24</v>
      </c>
      <c r="C396" s="141">
        <f t="shared" si="21"/>
        <v>24</v>
      </c>
      <c r="D396" s="141">
        <f t="shared" si="22"/>
        <v>3</v>
      </c>
    </row>
    <row r="397" spans="1:4">
      <c r="A397" s="142">
        <v>44056</v>
      </c>
      <c r="B397" s="149">
        <v>24.3</v>
      </c>
      <c r="C397" s="141">
        <f t="shared" si="21"/>
        <v>24</v>
      </c>
      <c r="D397" s="141">
        <f t="shared" si="22"/>
        <v>4</v>
      </c>
    </row>
    <row r="398" spans="1:4">
      <c r="A398" s="142">
        <v>44051</v>
      </c>
      <c r="B398" s="149">
        <v>24.4</v>
      </c>
      <c r="C398" s="141">
        <f t="shared" si="21"/>
        <v>24</v>
      </c>
      <c r="D398" s="141">
        <f t="shared" si="22"/>
        <v>5</v>
      </c>
    </row>
    <row r="399" spans="1:4">
      <c r="A399" s="142">
        <v>44365</v>
      </c>
      <c r="B399" s="149">
        <v>24.5</v>
      </c>
      <c r="C399" s="141">
        <f t="shared" si="21"/>
        <v>25</v>
      </c>
      <c r="D399" s="141">
        <f t="shared" si="22"/>
        <v>1</v>
      </c>
    </row>
    <row r="400" spans="1:4">
      <c r="A400" s="142">
        <v>44040</v>
      </c>
      <c r="B400" s="149">
        <v>24.6</v>
      </c>
      <c r="C400" s="141">
        <f t="shared" si="21"/>
        <v>25</v>
      </c>
      <c r="D400" s="141">
        <f t="shared" si="22"/>
        <v>2</v>
      </c>
    </row>
    <row r="401" spans="1:4">
      <c r="A401" s="142">
        <v>44064</v>
      </c>
      <c r="B401" s="149">
        <v>24.6</v>
      </c>
      <c r="C401" s="141">
        <f t="shared" si="21"/>
        <v>25</v>
      </c>
      <c r="D401" s="141">
        <f t="shared" si="22"/>
        <v>3</v>
      </c>
    </row>
    <row r="402" spans="1:4">
      <c r="A402" s="142">
        <v>44052</v>
      </c>
      <c r="B402" s="149">
        <v>24.8</v>
      </c>
      <c r="C402" s="141">
        <f t="shared" si="21"/>
        <v>25</v>
      </c>
      <c r="D402" s="141">
        <f t="shared" si="22"/>
        <v>4</v>
      </c>
    </row>
    <row r="403" spans="1:4">
      <c r="A403" s="142">
        <v>44366</v>
      </c>
      <c r="B403" s="149">
        <v>25</v>
      </c>
      <c r="C403" s="141">
        <f t="shared" si="21"/>
        <v>25</v>
      </c>
      <c r="D403" s="141">
        <f t="shared" si="22"/>
        <v>5</v>
      </c>
    </row>
    <row r="404" spans="1:4">
      <c r="A404" s="142">
        <v>44367</v>
      </c>
      <c r="B404" s="149">
        <v>25.8</v>
      </c>
      <c r="C404" s="141">
        <f t="shared" si="21"/>
        <v>26</v>
      </c>
      <c r="D404" s="141">
        <f t="shared" si="22"/>
        <v>1</v>
      </c>
    </row>
    <row r="405" spans="1:4">
      <c r="A405" s="142">
        <v>44368</v>
      </c>
      <c r="B405" s="149">
        <v>26</v>
      </c>
      <c r="C405" s="141">
        <f t="shared" si="21"/>
        <v>26</v>
      </c>
      <c r="D405" s="141">
        <f t="shared" si="22"/>
        <v>2</v>
      </c>
    </row>
  </sheetData>
  <mergeCells count="1">
    <mergeCell ref="A3:K3"/>
  </mergeCells>
  <hyperlinks>
    <hyperlink ref="A1" r:id="rId1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67"/>
  <sheetViews>
    <sheetView workbookViewId="0">
      <pane ySplit="5" topLeftCell="A35" activePane="bottomLeft" state="frozen"/>
      <selection pane="bottomLeft" activeCell="A2" sqref="A2"/>
    </sheetView>
  </sheetViews>
  <sheetFormatPr defaultRowHeight="12.75"/>
  <cols>
    <col min="1" max="1" width="9.140625" style="199"/>
    <col min="2" max="2" width="9.140625" style="198"/>
    <col min="3" max="7" width="8.28515625" style="198" customWidth="1"/>
    <col min="8" max="16384" width="9.140625" style="198"/>
  </cols>
  <sheetData>
    <row r="1" spans="1:7">
      <c r="A1" s="199" t="s">
        <v>1529</v>
      </c>
      <c r="C1" s="204" t="s">
        <v>1466</v>
      </c>
    </row>
    <row r="2" spans="1:7">
      <c r="C2" s="204" t="s">
        <v>1465</v>
      </c>
    </row>
    <row r="3" spans="1:7">
      <c r="A3" s="199">
        <v>42794</v>
      </c>
      <c r="E3" s="203">
        <v>1.1000000000000001</v>
      </c>
      <c r="F3" s="203">
        <v>1.1000000000000001</v>
      </c>
      <c r="G3" s="198" t="s">
        <v>1464</v>
      </c>
    </row>
    <row r="4" spans="1:7">
      <c r="A4" s="199">
        <v>42825</v>
      </c>
      <c r="E4" s="203">
        <v>10</v>
      </c>
      <c r="F4" s="203">
        <v>5</v>
      </c>
      <c r="G4" s="200" t="s">
        <v>493</v>
      </c>
    </row>
    <row r="5" spans="1:7">
      <c r="A5" s="199">
        <v>42855</v>
      </c>
      <c r="E5" s="203">
        <v>14</v>
      </c>
      <c r="F5" s="203">
        <v>13</v>
      </c>
      <c r="G5" s="200" t="s">
        <v>6</v>
      </c>
    </row>
    <row r="6" spans="1:7">
      <c r="A6" s="199">
        <v>42886</v>
      </c>
      <c r="C6" s="198" t="s">
        <v>1035</v>
      </c>
      <c r="D6" s="198" t="s">
        <v>1463</v>
      </c>
      <c r="E6" s="200" t="s">
        <v>1462</v>
      </c>
      <c r="F6" s="200" t="s">
        <v>489</v>
      </c>
      <c r="G6" s="202" t="s">
        <v>129</v>
      </c>
    </row>
    <row r="7" spans="1:7">
      <c r="A7" s="199">
        <v>42916</v>
      </c>
      <c r="E7" s="200"/>
      <c r="F7" s="200"/>
    </row>
    <row r="8" spans="1:7">
      <c r="A8" s="199">
        <v>42947</v>
      </c>
      <c r="E8" s="200"/>
      <c r="F8" s="200"/>
    </row>
    <row r="9" spans="1:7">
      <c r="A9" s="199">
        <v>42978</v>
      </c>
      <c r="B9" s="198">
        <v>68.7</v>
      </c>
      <c r="C9" s="198">
        <v>19.338709677419356</v>
      </c>
      <c r="D9" s="198">
        <f>C9-1</f>
        <v>18.338709677419356</v>
      </c>
      <c r="E9" s="200">
        <f t="shared" ref="E9:E40" si="0">IF(C9&lt;E$5,(E$5-C9)*E$4/30,0)+E$3</f>
        <v>1.1000000000000001</v>
      </c>
      <c r="F9" s="200">
        <f t="shared" ref="F9:F40" si="1">IF(D9&lt;F$5,(F$5-D9)*F$4/30,0)+F$3</f>
        <v>1.1000000000000001</v>
      </c>
      <c r="G9" s="198">
        <f t="shared" ref="G9:G40" si="2">B9/(A9-A8)/24</f>
        <v>9.2338709677419362E-2</v>
      </c>
    </row>
    <row r="10" spans="1:7">
      <c r="A10" s="199">
        <v>43008</v>
      </c>
      <c r="B10" s="198">
        <v>1271.5999999999999</v>
      </c>
      <c r="C10" s="198">
        <v>13.006666666666872</v>
      </c>
      <c r="D10" s="201">
        <f>C10-1</f>
        <v>12.006666666666872</v>
      </c>
      <c r="E10" s="200">
        <f t="shared" si="0"/>
        <v>1.4311111111110428</v>
      </c>
      <c r="F10" s="200">
        <f t="shared" si="1"/>
        <v>1.2655555555555213</v>
      </c>
      <c r="G10" s="198">
        <f t="shared" si="2"/>
        <v>1.766111111111111</v>
      </c>
    </row>
    <row r="11" spans="1:7">
      <c r="A11" s="199">
        <v>43039</v>
      </c>
      <c r="B11" s="198">
        <v>1351.8</v>
      </c>
      <c r="C11" s="198">
        <v>10.809677419354909</v>
      </c>
      <c r="D11" s="201">
        <f>C11-1</f>
        <v>9.8096774193549088</v>
      </c>
      <c r="E11" s="200">
        <f t="shared" si="0"/>
        <v>2.1634408602150303</v>
      </c>
      <c r="F11" s="200">
        <f t="shared" si="1"/>
        <v>1.6317204301075154</v>
      </c>
      <c r="G11" s="198">
        <f t="shared" si="2"/>
        <v>1.8169354838709675</v>
      </c>
    </row>
    <row r="12" spans="1:7">
      <c r="A12" s="199">
        <v>43069</v>
      </c>
      <c r="B12" s="198">
        <v>1848.8</v>
      </c>
      <c r="C12" s="198">
        <v>4.6066666666667517</v>
      </c>
      <c r="D12" s="201">
        <f>C12-1</f>
        <v>3.6066666666667517</v>
      </c>
      <c r="E12" s="200">
        <f t="shared" si="0"/>
        <v>4.2311111111110833</v>
      </c>
      <c r="F12" s="200">
        <f t="shared" si="1"/>
        <v>2.6655555555555415</v>
      </c>
      <c r="G12" s="198">
        <f t="shared" si="2"/>
        <v>2.5677777777777777</v>
      </c>
    </row>
    <row r="13" spans="1:7">
      <c r="A13" s="199">
        <v>43100</v>
      </c>
      <c r="B13" s="198">
        <v>2435.3000000000002</v>
      </c>
      <c r="C13" s="198">
        <v>2.2806451612904635</v>
      </c>
      <c r="D13" s="201">
        <f>C13-1</f>
        <v>1.2806451612904635</v>
      </c>
      <c r="E13" s="200">
        <f t="shared" si="0"/>
        <v>5.0064516129031791</v>
      </c>
      <c r="F13" s="200">
        <f t="shared" si="1"/>
        <v>3.0532258064515894</v>
      </c>
      <c r="G13" s="198">
        <f t="shared" si="2"/>
        <v>3.2732526881720432</v>
      </c>
    </row>
    <row r="14" spans="1:7">
      <c r="A14" s="199">
        <v>43131</v>
      </c>
      <c r="B14" s="198">
        <v>2410.6999999999998</v>
      </c>
      <c r="C14" s="198">
        <v>3.2483870967741582</v>
      </c>
      <c r="D14" s="198">
        <v>2.1</v>
      </c>
      <c r="E14" s="200">
        <f t="shared" si="0"/>
        <v>4.6838709677419477</v>
      </c>
      <c r="F14" s="200">
        <f t="shared" si="1"/>
        <v>2.916666666666667</v>
      </c>
      <c r="G14" s="198">
        <f t="shared" si="2"/>
        <v>3.2401881720430108</v>
      </c>
    </row>
    <row r="15" spans="1:7">
      <c r="A15" s="199">
        <v>43159</v>
      </c>
      <c r="B15" s="198">
        <v>4261.6000000000004</v>
      </c>
      <c r="C15" s="198">
        <v>-2.5500000000000518</v>
      </c>
      <c r="D15" s="198">
        <v>-3.4</v>
      </c>
      <c r="E15" s="200">
        <f t="shared" si="0"/>
        <v>6.6166666666666831</v>
      </c>
      <c r="F15" s="200">
        <f t="shared" si="1"/>
        <v>3.8333333333333335</v>
      </c>
      <c r="G15" s="198">
        <f t="shared" si="2"/>
        <v>6.3416666666666677</v>
      </c>
    </row>
    <row r="16" spans="1:7">
      <c r="A16" s="199">
        <v>43190</v>
      </c>
      <c r="B16" s="198">
        <v>3257.5</v>
      </c>
      <c r="C16" s="198">
        <v>2.3838709677420411</v>
      </c>
      <c r="D16" s="198">
        <v>0.8</v>
      </c>
      <c r="E16" s="200">
        <f t="shared" si="0"/>
        <v>4.9720430107526532</v>
      </c>
      <c r="F16" s="200">
        <f t="shared" si="1"/>
        <v>3.1333333333333333</v>
      </c>
      <c r="G16" s="198">
        <f t="shared" si="2"/>
        <v>4.378360215053763</v>
      </c>
    </row>
    <row r="17" spans="1:7">
      <c r="A17" s="199">
        <v>43220</v>
      </c>
      <c r="B17" s="198">
        <v>897.9</v>
      </c>
      <c r="C17" s="198">
        <v>13.99333333333337</v>
      </c>
      <c r="D17" s="198">
        <v>13.4</v>
      </c>
      <c r="E17" s="200">
        <f t="shared" si="0"/>
        <v>1.1022222222222102</v>
      </c>
      <c r="F17" s="200">
        <f t="shared" si="1"/>
        <v>1.1000000000000001</v>
      </c>
      <c r="G17" s="198">
        <f t="shared" si="2"/>
        <v>1.2470833333333333</v>
      </c>
    </row>
    <row r="18" spans="1:7">
      <c r="A18" s="199">
        <v>43251</v>
      </c>
      <c r="B18" s="198">
        <v>915.1</v>
      </c>
      <c r="C18" s="198">
        <v>17.454838709677372</v>
      </c>
      <c r="D18" s="198">
        <v>16.7</v>
      </c>
      <c r="E18" s="200">
        <f t="shared" si="0"/>
        <v>1.1000000000000001</v>
      </c>
      <c r="F18" s="200">
        <f t="shared" si="1"/>
        <v>1.1000000000000001</v>
      </c>
      <c r="G18" s="198">
        <f t="shared" si="2"/>
        <v>1.2299731182795699</v>
      </c>
    </row>
    <row r="19" spans="1:7">
      <c r="A19" s="199">
        <v>43281</v>
      </c>
      <c r="B19" s="198">
        <v>1026.7</v>
      </c>
      <c r="C19" s="198">
        <v>18.759999999999977</v>
      </c>
      <c r="D19" s="198">
        <v>17.8</v>
      </c>
      <c r="E19" s="200">
        <f t="shared" si="0"/>
        <v>1.1000000000000001</v>
      </c>
      <c r="F19" s="200">
        <f t="shared" si="1"/>
        <v>1.1000000000000001</v>
      </c>
      <c r="G19" s="198">
        <f t="shared" si="2"/>
        <v>1.4259722222222224</v>
      </c>
    </row>
    <row r="20" spans="1:7">
      <c r="A20" s="199">
        <v>43312</v>
      </c>
      <c r="B20" s="198">
        <v>927.5</v>
      </c>
      <c r="C20" s="198">
        <v>21.961290322580503</v>
      </c>
      <c r="D20" s="198">
        <v>20.6</v>
      </c>
      <c r="E20" s="200">
        <f t="shared" si="0"/>
        <v>1.1000000000000001</v>
      </c>
      <c r="F20" s="200">
        <f t="shared" si="1"/>
        <v>1.1000000000000001</v>
      </c>
      <c r="G20" s="198">
        <f t="shared" si="2"/>
        <v>1.2466397849462365</v>
      </c>
    </row>
    <row r="21" spans="1:7">
      <c r="A21" s="199">
        <v>43343</v>
      </c>
      <c r="B21" s="198">
        <v>907.8</v>
      </c>
      <c r="C21" s="198">
        <v>21.751612903225901</v>
      </c>
      <c r="D21" s="198">
        <v>21.7</v>
      </c>
      <c r="E21" s="200">
        <f t="shared" si="0"/>
        <v>1.1000000000000001</v>
      </c>
      <c r="F21" s="200">
        <f t="shared" si="1"/>
        <v>1.1000000000000001</v>
      </c>
      <c r="G21" s="198">
        <f t="shared" si="2"/>
        <v>1.2201612903225805</v>
      </c>
    </row>
    <row r="22" spans="1:7">
      <c r="A22" s="199">
        <v>43373</v>
      </c>
      <c r="B22" s="198">
        <v>1091</v>
      </c>
      <c r="C22" s="198">
        <v>16.043333333333369</v>
      </c>
      <c r="D22" s="198">
        <v>15.2</v>
      </c>
      <c r="E22" s="200">
        <f t="shared" si="0"/>
        <v>1.1000000000000001</v>
      </c>
      <c r="F22" s="200">
        <f t="shared" si="1"/>
        <v>1.1000000000000001</v>
      </c>
      <c r="G22" s="198">
        <f t="shared" si="2"/>
        <v>1.5152777777777777</v>
      </c>
    </row>
    <row r="23" spans="1:7">
      <c r="A23" s="199">
        <v>43404</v>
      </c>
      <c r="B23" s="198">
        <v>1720.9</v>
      </c>
      <c r="C23" s="198">
        <v>11.01935483870969</v>
      </c>
      <c r="D23" s="198">
        <v>10.6</v>
      </c>
      <c r="E23" s="200">
        <f t="shared" si="0"/>
        <v>2.0935483870967699</v>
      </c>
      <c r="F23" s="200">
        <f t="shared" si="1"/>
        <v>1.5000000000000002</v>
      </c>
      <c r="G23" s="198">
        <f t="shared" si="2"/>
        <v>2.3130376344086021</v>
      </c>
    </row>
    <row r="24" spans="1:7">
      <c r="A24" s="199">
        <v>43434</v>
      </c>
      <c r="B24" s="198">
        <v>3673.4</v>
      </c>
      <c r="C24" s="198">
        <v>4.2866666666666786</v>
      </c>
      <c r="D24" s="198">
        <v>4.0999999999999996</v>
      </c>
      <c r="E24" s="200">
        <f t="shared" si="0"/>
        <v>4.3377777777777737</v>
      </c>
      <c r="F24" s="200">
        <f t="shared" si="1"/>
        <v>2.5833333333333335</v>
      </c>
      <c r="G24" s="198">
        <f t="shared" si="2"/>
        <v>5.1019444444444444</v>
      </c>
    </row>
    <row r="25" spans="1:7">
      <c r="A25" s="199">
        <v>43465</v>
      </c>
      <c r="B25" s="198">
        <v>4336.5</v>
      </c>
      <c r="C25" s="198">
        <v>3.2290322580642932</v>
      </c>
      <c r="D25" s="198">
        <v>1.5</v>
      </c>
      <c r="E25" s="200">
        <f t="shared" si="0"/>
        <v>4.6903225806452351</v>
      </c>
      <c r="F25" s="200">
        <f t="shared" si="1"/>
        <v>3.0166666666666666</v>
      </c>
      <c r="G25" s="198">
        <f t="shared" si="2"/>
        <v>5.8286290322580641</v>
      </c>
    </row>
    <row r="26" spans="1:7">
      <c r="A26" s="199">
        <v>43496</v>
      </c>
      <c r="B26" s="198">
        <v>3821.5</v>
      </c>
      <c r="C26" s="198">
        <v>-1.2903225806557232E-2</v>
      </c>
      <c r="D26" s="198">
        <v>-1.5</v>
      </c>
      <c r="E26" s="200">
        <f t="shared" si="0"/>
        <v>5.7709677419355181</v>
      </c>
      <c r="F26" s="200">
        <f t="shared" si="1"/>
        <v>3.5166666666666666</v>
      </c>
      <c r="G26" s="198">
        <f t="shared" si="2"/>
        <v>5.136424731182796</v>
      </c>
    </row>
    <row r="27" spans="1:7">
      <c r="A27" s="199">
        <v>43524</v>
      </c>
      <c r="B27" s="198">
        <v>3005.1</v>
      </c>
      <c r="C27" s="198">
        <v>3.067857142857195</v>
      </c>
      <c r="D27" s="198">
        <v>2.5</v>
      </c>
      <c r="E27" s="200">
        <f t="shared" si="0"/>
        <v>4.7440476190476026</v>
      </c>
      <c r="F27" s="200">
        <f t="shared" si="1"/>
        <v>2.85</v>
      </c>
      <c r="G27" s="198">
        <f t="shared" si="2"/>
        <v>4.4718749999999998</v>
      </c>
    </row>
    <row r="28" spans="1:7">
      <c r="A28" s="199">
        <v>43555</v>
      </c>
      <c r="B28" s="198">
        <v>2436.4</v>
      </c>
      <c r="C28" s="198">
        <v>7.361290322580551</v>
      </c>
      <c r="D28" s="198">
        <v>5.9</v>
      </c>
      <c r="E28" s="200">
        <f t="shared" si="0"/>
        <v>3.3129032258064832</v>
      </c>
      <c r="F28" s="200">
        <f t="shared" si="1"/>
        <v>2.2833333333333332</v>
      </c>
      <c r="G28" s="198">
        <f t="shared" si="2"/>
        <v>3.2747311827956991</v>
      </c>
    </row>
    <row r="29" spans="1:7">
      <c r="A29" s="199">
        <v>43585</v>
      </c>
      <c r="B29" s="198">
        <v>1784.2</v>
      </c>
      <c r="C29" s="198">
        <v>10.860000000000097</v>
      </c>
      <c r="D29" s="198">
        <v>9.9</v>
      </c>
      <c r="E29" s="200">
        <f t="shared" si="0"/>
        <v>2.1466666666666345</v>
      </c>
      <c r="F29" s="200">
        <f t="shared" si="1"/>
        <v>1.6166666666666667</v>
      </c>
      <c r="G29" s="198">
        <f t="shared" si="2"/>
        <v>2.4780555555555557</v>
      </c>
    </row>
    <row r="30" spans="1:7">
      <c r="A30" s="199">
        <v>43616</v>
      </c>
      <c r="B30" s="198">
        <v>1641</v>
      </c>
      <c r="C30" s="198">
        <v>12.29354838709661</v>
      </c>
      <c r="D30" s="198">
        <v>10.7</v>
      </c>
      <c r="E30" s="200">
        <f t="shared" si="0"/>
        <v>1.66881720430113</v>
      </c>
      <c r="F30" s="200">
        <f t="shared" si="1"/>
        <v>1.4833333333333336</v>
      </c>
      <c r="G30" s="198">
        <f t="shared" si="2"/>
        <v>2.2056451612903225</v>
      </c>
    </row>
    <row r="31" spans="1:7">
      <c r="A31" s="199">
        <v>43646</v>
      </c>
      <c r="B31" s="198">
        <v>792</v>
      </c>
      <c r="C31" s="198">
        <v>22.053333333333526</v>
      </c>
      <c r="D31" s="198">
        <v>21</v>
      </c>
      <c r="E31" s="200">
        <f t="shared" si="0"/>
        <v>1.1000000000000001</v>
      </c>
      <c r="F31" s="200">
        <f t="shared" si="1"/>
        <v>1.1000000000000001</v>
      </c>
      <c r="G31" s="198">
        <f t="shared" si="2"/>
        <v>1.0999999999999999</v>
      </c>
    </row>
    <row r="32" spans="1:7">
      <c r="A32" s="199">
        <v>43677</v>
      </c>
      <c r="B32" s="198">
        <v>833.6</v>
      </c>
      <c r="C32" s="198">
        <v>20.22903225806435</v>
      </c>
      <c r="D32" s="198">
        <v>19</v>
      </c>
      <c r="E32" s="200">
        <f t="shared" si="0"/>
        <v>1.1000000000000001</v>
      </c>
      <c r="F32" s="200">
        <f t="shared" si="1"/>
        <v>1.1000000000000001</v>
      </c>
      <c r="G32" s="198">
        <f t="shared" si="2"/>
        <v>1.1204301075268817</v>
      </c>
    </row>
    <row r="33" spans="1:7">
      <c r="A33" s="199">
        <v>43708</v>
      </c>
      <c r="B33" s="198">
        <v>957.1</v>
      </c>
      <c r="C33" s="198">
        <v>20.332258064516104</v>
      </c>
      <c r="D33" s="198">
        <v>18.899999999999999</v>
      </c>
      <c r="E33" s="200">
        <f t="shared" si="0"/>
        <v>1.1000000000000001</v>
      </c>
      <c r="F33" s="200">
        <f t="shared" si="1"/>
        <v>1.1000000000000001</v>
      </c>
      <c r="G33" s="198">
        <f t="shared" si="2"/>
        <v>1.2864247311827957</v>
      </c>
    </row>
    <row r="34" spans="1:7">
      <c r="A34" s="199">
        <v>43738</v>
      </c>
      <c r="B34" s="198">
        <v>1303.0999999999999</v>
      </c>
      <c r="C34" s="198">
        <v>14.676666666666522</v>
      </c>
      <c r="D34" s="198">
        <v>13.5</v>
      </c>
      <c r="E34" s="200">
        <f t="shared" si="0"/>
        <v>1.1000000000000001</v>
      </c>
      <c r="F34" s="200">
        <f t="shared" si="1"/>
        <v>1.1000000000000001</v>
      </c>
      <c r="G34" s="198">
        <f t="shared" si="2"/>
        <v>1.8098611111111109</v>
      </c>
    </row>
    <row r="35" spans="1:7">
      <c r="A35" s="199">
        <v>43769</v>
      </c>
      <c r="B35" s="198">
        <v>1879.1</v>
      </c>
      <c r="C35" s="198">
        <v>10.209677419354721</v>
      </c>
      <c r="D35" s="198">
        <v>9.5</v>
      </c>
      <c r="E35" s="200">
        <f t="shared" si="0"/>
        <v>2.3634408602150936</v>
      </c>
      <c r="F35" s="200">
        <f t="shared" si="1"/>
        <v>1.6833333333333336</v>
      </c>
      <c r="G35" s="198">
        <f t="shared" si="2"/>
        <v>2.5256720430107524</v>
      </c>
    </row>
    <row r="36" spans="1:7">
      <c r="A36" s="199">
        <v>43799</v>
      </c>
      <c r="B36" s="198">
        <v>3616.7</v>
      </c>
      <c r="C36" s="198">
        <v>6.1799999999999269</v>
      </c>
      <c r="D36" s="198">
        <v>5.0999999999999996</v>
      </c>
      <c r="E36" s="200">
        <f t="shared" si="0"/>
        <v>3.706666666666691</v>
      </c>
      <c r="F36" s="200">
        <f t="shared" si="1"/>
        <v>2.416666666666667</v>
      </c>
      <c r="G36" s="198">
        <f t="shared" si="2"/>
        <v>5.0231944444444441</v>
      </c>
    </row>
    <row r="37" spans="1:7">
      <c r="A37" s="199">
        <v>43830</v>
      </c>
      <c r="B37" s="198">
        <v>4526</v>
      </c>
      <c r="C37" s="198">
        <v>3.0612903225802226</v>
      </c>
      <c r="D37" s="198">
        <v>2.2000000000000002</v>
      </c>
      <c r="E37" s="200">
        <f t="shared" si="0"/>
        <v>4.746236559139926</v>
      </c>
      <c r="F37" s="200">
        <f t="shared" si="1"/>
        <v>2.9000000000000004</v>
      </c>
      <c r="G37" s="198">
        <f t="shared" si="2"/>
        <v>6.083333333333333</v>
      </c>
    </row>
    <row r="38" spans="1:7">
      <c r="A38" s="199">
        <v>43861</v>
      </c>
      <c r="B38" s="198">
        <v>3915</v>
      </c>
      <c r="C38" s="198">
        <v>1.8483870967739353</v>
      </c>
      <c r="D38" s="198">
        <v>1</v>
      </c>
      <c r="E38" s="200">
        <f t="shared" si="0"/>
        <v>5.1505376344086891</v>
      </c>
      <c r="F38" s="200">
        <f t="shared" si="1"/>
        <v>3.1</v>
      </c>
      <c r="G38" s="198">
        <f t="shared" si="2"/>
        <v>5.2620967741935489</v>
      </c>
    </row>
    <row r="39" spans="1:7">
      <c r="A39" s="199">
        <v>43890</v>
      </c>
      <c r="B39" s="198">
        <v>3408</v>
      </c>
      <c r="C39" s="198">
        <v>5.1965517241380814</v>
      </c>
      <c r="D39" s="198">
        <v>4</v>
      </c>
      <c r="E39" s="200">
        <f t="shared" si="0"/>
        <v>4.0344827586206389</v>
      </c>
      <c r="F39" s="200">
        <f t="shared" si="1"/>
        <v>2.6</v>
      </c>
      <c r="G39" s="198">
        <f t="shared" si="2"/>
        <v>4.8965517241379315</v>
      </c>
    </row>
    <row r="40" spans="1:7">
      <c r="A40" s="199">
        <v>43921</v>
      </c>
      <c r="B40" s="198">
        <v>3118</v>
      </c>
      <c r="C40" s="198">
        <v>4.9870967741935015</v>
      </c>
      <c r="D40" s="198">
        <v>4.2</v>
      </c>
      <c r="E40" s="200">
        <f t="shared" si="0"/>
        <v>4.1043010752688325</v>
      </c>
      <c r="F40" s="200">
        <f t="shared" si="1"/>
        <v>2.5666666666666664</v>
      </c>
      <c r="G40" s="198">
        <f t="shared" si="2"/>
        <v>4.190860215053763</v>
      </c>
    </row>
    <row r="41" spans="1:7">
      <c r="A41" s="199">
        <v>43951</v>
      </c>
      <c r="B41" s="198">
        <v>1831</v>
      </c>
      <c r="C41" s="198">
        <v>10.960000000000218</v>
      </c>
      <c r="D41" s="198">
        <v>10.3</v>
      </c>
      <c r="E41" s="200">
        <f t="shared" ref="E41:E59" si="3">IF(C41&lt;E$5,(E$5-C41)*E$4/30,0)+E$3</f>
        <v>2.1133333333332609</v>
      </c>
      <c r="F41" s="200">
        <f t="shared" ref="F41:F59" si="4">IF(D41&lt;F$5,(F$5-D41)*F$4/30,0)+F$3</f>
        <v>1.55</v>
      </c>
      <c r="G41" s="198">
        <f t="shared" ref="G41:G59" si="5">B41/(A41-A40)/24</f>
        <v>2.5430555555555556</v>
      </c>
    </row>
    <row r="42" spans="1:7">
      <c r="A42" s="199">
        <v>43982</v>
      </c>
      <c r="B42" s="198">
        <v>1689</v>
      </c>
      <c r="C42" s="198">
        <v>12.390322580645231</v>
      </c>
      <c r="D42" s="198">
        <v>11.2</v>
      </c>
      <c r="E42" s="200">
        <f t="shared" si="3"/>
        <v>1.6365591397849233</v>
      </c>
      <c r="F42" s="200">
        <f t="shared" si="4"/>
        <v>1.4000000000000001</v>
      </c>
      <c r="G42" s="198">
        <f t="shared" si="5"/>
        <v>2.2701612903225805</v>
      </c>
    </row>
    <row r="43" spans="1:7">
      <c r="A43" s="199">
        <v>44012</v>
      </c>
      <c r="B43" s="198">
        <v>1035</v>
      </c>
      <c r="C43" s="198">
        <v>17.819999999999951</v>
      </c>
      <c r="D43" s="198">
        <v>16.100000000000001</v>
      </c>
      <c r="E43" s="200">
        <f t="shared" si="3"/>
        <v>1.1000000000000001</v>
      </c>
      <c r="F43" s="200">
        <f t="shared" si="4"/>
        <v>1.1000000000000001</v>
      </c>
      <c r="G43" s="198">
        <f t="shared" si="5"/>
        <v>1.4375</v>
      </c>
    </row>
    <row r="44" spans="1:7">
      <c r="A44" s="199">
        <v>44043</v>
      </c>
      <c r="B44" s="198">
        <v>978</v>
      </c>
      <c r="C44" s="198">
        <v>19.425806451613045</v>
      </c>
      <c r="D44" s="198">
        <v>18</v>
      </c>
      <c r="E44" s="200">
        <f t="shared" si="3"/>
        <v>1.1000000000000001</v>
      </c>
      <c r="F44" s="200">
        <f t="shared" si="4"/>
        <v>1.1000000000000001</v>
      </c>
      <c r="G44" s="198">
        <f t="shared" si="5"/>
        <v>1.314516129032258</v>
      </c>
    </row>
    <row r="45" spans="1:7">
      <c r="A45" s="199">
        <v>44074</v>
      </c>
      <c r="B45" s="198">
        <v>744</v>
      </c>
      <c r="C45" s="198">
        <v>20.164516129032329</v>
      </c>
      <c r="D45" s="198">
        <v>19.2</v>
      </c>
      <c r="E45" s="200">
        <f t="shared" si="3"/>
        <v>1.1000000000000001</v>
      </c>
      <c r="F45" s="200">
        <f t="shared" si="4"/>
        <v>1.1000000000000001</v>
      </c>
      <c r="G45" s="198">
        <f t="shared" si="5"/>
        <v>1</v>
      </c>
    </row>
    <row r="46" spans="1:7">
      <c r="A46" s="199">
        <v>44104</v>
      </c>
      <c r="B46" s="198">
        <v>1095</v>
      </c>
      <c r="C46" s="198">
        <v>15.693333333333067</v>
      </c>
      <c r="D46" s="198">
        <v>14.9</v>
      </c>
      <c r="E46" s="200">
        <f t="shared" si="3"/>
        <v>1.1000000000000001</v>
      </c>
      <c r="F46" s="200">
        <f t="shared" si="4"/>
        <v>1.1000000000000001</v>
      </c>
      <c r="G46" s="198">
        <f t="shared" si="5"/>
        <v>1.5208333333333333</v>
      </c>
    </row>
    <row r="47" spans="1:7">
      <c r="A47" s="199">
        <v>44135</v>
      </c>
      <c r="B47" s="198">
        <v>1654</v>
      </c>
      <c r="C47" s="198">
        <v>10.200000000000024</v>
      </c>
      <c r="D47" s="198">
        <v>9</v>
      </c>
      <c r="E47" s="200">
        <f t="shared" si="3"/>
        <v>2.3666666666666587</v>
      </c>
      <c r="F47" s="200">
        <f t="shared" si="4"/>
        <v>1.7666666666666666</v>
      </c>
      <c r="G47" s="198">
        <f t="shared" si="5"/>
        <v>2.2231182795698925</v>
      </c>
    </row>
    <row r="48" spans="1:7">
      <c r="A48" s="199">
        <v>44165</v>
      </c>
      <c r="B48" s="198">
        <v>1956</v>
      </c>
      <c r="C48" s="198">
        <v>4.4833333333335759</v>
      </c>
      <c r="D48" s="198">
        <v>3.8</v>
      </c>
      <c r="E48" s="200">
        <f t="shared" si="3"/>
        <v>4.2722222222221413</v>
      </c>
      <c r="F48" s="200">
        <f t="shared" si="4"/>
        <v>2.6333333333333337</v>
      </c>
      <c r="G48" s="198">
        <f t="shared" si="5"/>
        <v>2.7166666666666668</v>
      </c>
    </row>
    <row r="49" spans="1:7">
      <c r="A49" s="199">
        <v>44196</v>
      </c>
      <c r="B49" s="198">
        <v>2394</v>
      </c>
      <c r="C49" s="198">
        <v>2.9193548387097947</v>
      </c>
      <c r="D49" s="198">
        <v>1.7</v>
      </c>
      <c r="E49" s="200">
        <f t="shared" si="3"/>
        <v>4.7935483870967346</v>
      </c>
      <c r="F49" s="200">
        <f t="shared" si="4"/>
        <v>2.9833333333333334</v>
      </c>
      <c r="G49" s="198">
        <f t="shared" si="5"/>
        <v>3.2177419354838706</v>
      </c>
    </row>
    <row r="50" spans="1:7">
      <c r="A50" s="199">
        <v>44227</v>
      </c>
      <c r="B50" s="198">
        <v>2582</v>
      </c>
      <c r="C50" s="198">
        <v>5.4838709677325473E-2</v>
      </c>
      <c r="D50" s="198">
        <v>-1.1000000000000001</v>
      </c>
      <c r="E50" s="200">
        <f t="shared" si="3"/>
        <v>5.7483870967742252</v>
      </c>
      <c r="F50" s="200">
        <f t="shared" si="4"/>
        <v>3.45</v>
      </c>
      <c r="G50" s="198">
        <f t="shared" si="5"/>
        <v>3.470430107526882</v>
      </c>
    </row>
    <row r="51" spans="1:7">
      <c r="A51" s="199">
        <v>44255</v>
      </c>
      <c r="B51" s="198">
        <v>2288</v>
      </c>
      <c r="C51" s="198">
        <v>-0.5035714285715065</v>
      </c>
      <c r="D51" s="198">
        <v>0.1</v>
      </c>
      <c r="E51" s="200">
        <f t="shared" si="3"/>
        <v>5.9345238095238351</v>
      </c>
      <c r="F51" s="200">
        <f t="shared" si="4"/>
        <v>3.25</v>
      </c>
      <c r="G51" s="198">
        <f t="shared" si="5"/>
        <v>3.4047619047619047</v>
      </c>
    </row>
    <row r="52" spans="1:7">
      <c r="A52" s="199">
        <v>44286</v>
      </c>
      <c r="B52" s="198">
        <v>1108</v>
      </c>
      <c r="C52" s="198">
        <v>4.6000000000003052</v>
      </c>
      <c r="D52" s="198">
        <v>3.1</v>
      </c>
      <c r="E52" s="200">
        <f t="shared" si="3"/>
        <v>4.2333333333332313</v>
      </c>
      <c r="F52" s="200">
        <f t="shared" si="4"/>
        <v>2.75</v>
      </c>
      <c r="G52" s="198">
        <f t="shared" si="5"/>
        <v>1.489247311827957</v>
      </c>
    </row>
    <row r="53" spans="1:7">
      <c r="A53" s="199">
        <v>44316</v>
      </c>
      <c r="B53" s="198">
        <v>455</v>
      </c>
      <c r="C53" s="198">
        <v>6.4666666666667876</v>
      </c>
      <c r="D53" s="198">
        <v>5.3</v>
      </c>
      <c r="E53" s="200">
        <f t="shared" si="3"/>
        <v>3.6111111111110707</v>
      </c>
      <c r="F53" s="200">
        <f t="shared" si="4"/>
        <v>2.3833333333333337</v>
      </c>
      <c r="G53" s="198">
        <f t="shared" si="5"/>
        <v>0.63194444444444442</v>
      </c>
    </row>
    <row r="54" spans="1:7">
      <c r="A54" s="199">
        <v>44347</v>
      </c>
      <c r="B54" s="198">
        <v>149</v>
      </c>
      <c r="C54" s="198">
        <v>11.780645161290463</v>
      </c>
      <c r="D54" s="198">
        <v>10.199999999999999</v>
      </c>
      <c r="E54" s="200">
        <f t="shared" si="3"/>
        <v>1.8397849462365121</v>
      </c>
      <c r="F54" s="200">
        <f t="shared" si="4"/>
        <v>1.5666666666666669</v>
      </c>
      <c r="G54" s="198">
        <f t="shared" si="5"/>
        <v>0.20026881720430109</v>
      </c>
    </row>
    <row r="55" spans="1:7">
      <c r="A55" s="199">
        <v>44377</v>
      </c>
      <c r="B55" s="198">
        <v>37</v>
      </c>
      <c r="C55" s="198">
        <v>20.053333333333285</v>
      </c>
      <c r="D55" s="198">
        <v>19</v>
      </c>
      <c r="E55" s="200">
        <f t="shared" si="3"/>
        <v>1.1000000000000001</v>
      </c>
      <c r="F55" s="200">
        <f t="shared" si="4"/>
        <v>1.1000000000000001</v>
      </c>
      <c r="G55" s="198">
        <f t="shared" si="5"/>
        <v>5.1388888888888894E-2</v>
      </c>
    </row>
    <row r="56" spans="1:7">
      <c r="A56" s="199">
        <v>44408</v>
      </c>
      <c r="B56" s="198">
        <v>47</v>
      </c>
      <c r="C56" s="198">
        <v>19.754838709677465</v>
      </c>
      <c r="D56" s="198">
        <v>18.399999999999999</v>
      </c>
      <c r="E56" s="200">
        <f t="shared" si="3"/>
        <v>1.1000000000000001</v>
      </c>
      <c r="F56" s="200">
        <f t="shared" si="4"/>
        <v>1.1000000000000001</v>
      </c>
      <c r="G56" s="198">
        <f t="shared" si="5"/>
        <v>6.3172043010752688E-2</v>
      </c>
    </row>
    <row r="57" spans="1:7">
      <c r="A57" s="199">
        <v>44439</v>
      </c>
      <c r="B57" s="198">
        <v>146</v>
      </c>
      <c r="C57" s="198">
        <v>17.37741935483885</v>
      </c>
      <c r="D57" s="198">
        <v>16</v>
      </c>
      <c r="E57" s="200">
        <f t="shared" si="3"/>
        <v>1.1000000000000001</v>
      </c>
      <c r="F57" s="200">
        <f t="shared" si="4"/>
        <v>1.1000000000000001</v>
      </c>
      <c r="G57" s="198">
        <f t="shared" si="5"/>
        <v>0.19623655913978497</v>
      </c>
    </row>
    <row r="58" spans="1:7">
      <c r="A58" s="199">
        <v>44469</v>
      </c>
      <c r="B58" s="198">
        <v>65</v>
      </c>
      <c r="C58" s="198">
        <v>15.863333333333625</v>
      </c>
      <c r="D58" s="198">
        <v>15</v>
      </c>
      <c r="E58" s="200">
        <f t="shared" si="3"/>
        <v>1.1000000000000001</v>
      </c>
      <c r="F58" s="200">
        <f t="shared" si="4"/>
        <v>1.1000000000000001</v>
      </c>
      <c r="G58" s="198">
        <f t="shared" si="5"/>
        <v>9.0277777777777776E-2</v>
      </c>
    </row>
    <row r="59" spans="1:7">
      <c r="A59" s="199">
        <v>44500</v>
      </c>
      <c r="B59" s="198">
        <v>536</v>
      </c>
      <c r="C59" s="198">
        <v>10.130769230769566</v>
      </c>
      <c r="D59" s="198">
        <v>8.5</v>
      </c>
      <c r="E59" s="200">
        <f t="shared" si="3"/>
        <v>2.3897435897434782</v>
      </c>
      <c r="F59" s="200">
        <f t="shared" si="4"/>
        <v>1.85</v>
      </c>
      <c r="G59" s="198">
        <f t="shared" si="5"/>
        <v>0.72043010752688164</v>
      </c>
    </row>
    <row r="60" spans="1:7">
      <c r="A60" s="199">
        <v>44530</v>
      </c>
      <c r="B60" s="198">
        <v>1250.8</v>
      </c>
    </row>
    <row r="61" spans="1:7">
      <c r="A61" s="199">
        <v>44561</v>
      </c>
      <c r="B61" s="198">
        <v>2000</v>
      </c>
    </row>
    <row r="62" spans="1:7">
      <c r="A62" s="199">
        <v>44592</v>
      </c>
    </row>
    <row r="63" spans="1:7">
      <c r="A63" s="199">
        <v>44620</v>
      </c>
    </row>
    <row r="64" spans="1:7">
      <c r="A64" s="199">
        <v>44651</v>
      </c>
    </row>
    <row r="65" spans="1:1">
      <c r="A65" s="199">
        <v>44681</v>
      </c>
    </row>
    <row r="66" spans="1:1">
      <c r="A66" s="199">
        <v>44712</v>
      </c>
    </row>
    <row r="67" spans="1:1">
      <c r="A67" s="199">
        <v>44713</v>
      </c>
    </row>
  </sheetData>
  <hyperlinks>
    <hyperlink ref="C1" r:id="rId1"/>
    <hyperlink ref="C2" r:id="rId2"/>
  </hyperlinks>
  <pageMargins left="0.7" right="0.7" top="0.78740157499999996" bottom="0.78740157499999996" header="0.3" footer="0.3"/>
  <pageSetup paperSize="9" orientation="portrait" verticalDpi="0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62"/>
  <sheetViews>
    <sheetView workbookViewId="0">
      <selection activeCell="A2" sqref="A2"/>
    </sheetView>
  </sheetViews>
  <sheetFormatPr defaultColWidth="6.85546875" defaultRowHeight="15"/>
  <cols>
    <col min="1" max="1" width="6.85546875" style="12"/>
    <col min="2" max="4" width="6.85546875" style="29"/>
    <col min="5" max="5" width="6.85546875" style="30"/>
    <col min="6" max="16384" width="6.85546875" style="29"/>
  </cols>
  <sheetData>
    <row r="1" spans="1:25">
      <c r="A1" s="12" t="s">
        <v>1535</v>
      </c>
      <c r="F1" s="2">
        <v>7.0000000000000007E-2</v>
      </c>
      <c r="G1" s="29" t="s">
        <v>8</v>
      </c>
      <c r="K1" s="19" t="s">
        <v>25</v>
      </c>
    </row>
    <row r="2" spans="1:25">
      <c r="E2" s="30" t="s">
        <v>28</v>
      </c>
      <c r="F2" s="3">
        <v>2.1</v>
      </c>
      <c r="G2" s="29" t="s">
        <v>5</v>
      </c>
      <c r="L2" t="s">
        <v>26</v>
      </c>
      <c r="Y2" s="29">
        <v>1.85</v>
      </c>
    </row>
    <row r="3" spans="1:25">
      <c r="E3" s="31">
        <v>0.75</v>
      </c>
      <c r="F3" s="3">
        <v>17</v>
      </c>
      <c r="G3" s="29" t="s">
        <v>6</v>
      </c>
      <c r="L3" s="33" t="s">
        <v>40</v>
      </c>
    </row>
    <row r="4" spans="1:25">
      <c r="A4" s="12" t="s">
        <v>11</v>
      </c>
      <c r="B4" s="29" t="s">
        <v>13</v>
      </c>
      <c r="C4" s="29" t="s">
        <v>14</v>
      </c>
      <c r="D4" s="29" t="s">
        <v>12</v>
      </c>
      <c r="E4" s="30" t="s">
        <v>1</v>
      </c>
      <c r="F4" s="29" t="s">
        <v>2</v>
      </c>
      <c r="H4" s="30" t="s">
        <v>27</v>
      </c>
      <c r="I4" s="33"/>
      <c r="J4" s="33"/>
      <c r="O4" s="33" t="s">
        <v>35</v>
      </c>
      <c r="P4" s="29">
        <f>B18-B5</f>
        <v>542</v>
      </c>
      <c r="Q4" s="33" t="s">
        <v>29</v>
      </c>
      <c r="R4" s="29">
        <f>(P4*0.75*10.7-F$1*24*365)/24/F$2</f>
        <v>74.133928571428555</v>
      </c>
      <c r="U4" s="37" t="s">
        <v>32</v>
      </c>
    </row>
    <row r="5" spans="1:25">
      <c r="A5" s="34">
        <v>42095</v>
      </c>
      <c r="B5" s="33">
        <v>963</v>
      </c>
      <c r="C5" s="30">
        <v>9.2499999999999982</v>
      </c>
      <c r="F5" s="29">
        <f>F$1+(IF(F$3-$C5&gt;0,F$3-$C5,0)*F$2/30)</f>
        <v>0.61250000000000027</v>
      </c>
      <c r="H5" s="30"/>
      <c r="I5" s="33"/>
      <c r="J5" s="33"/>
      <c r="P5" s="29">
        <f>B29-B17</f>
        <v>626</v>
      </c>
      <c r="Q5" s="33" t="s">
        <v>30</v>
      </c>
      <c r="R5" s="33">
        <f>(P5*0.75*10.7-F$1*24*365)/24/F$2</f>
        <v>87.508928571428555</v>
      </c>
      <c r="U5" s="46" t="s">
        <v>229</v>
      </c>
    </row>
    <row r="6" spans="1:25">
      <c r="A6" s="34">
        <v>42125</v>
      </c>
      <c r="B6" s="33">
        <v>999</v>
      </c>
      <c r="C6" s="30">
        <v>13.748387096774204</v>
      </c>
      <c r="D6" s="29">
        <f>C6</f>
        <v>13.748387096774204</v>
      </c>
      <c r="E6" s="30">
        <f>(B6-B5)*10.7/(A6-A5)/24*E$3</f>
        <v>0.40125</v>
      </c>
      <c r="F6" s="29">
        <f t="shared" ref="F6:F49" si="0">F$1+(IF(F$3-$C6&gt;0,F$3-$C6,0)*F$2/30)</f>
        <v>0.29761290322580575</v>
      </c>
      <c r="I6" s="33"/>
      <c r="J6" s="33"/>
      <c r="P6" s="29">
        <f>B41-B29</f>
        <v>558</v>
      </c>
      <c r="Q6" s="33" t="s">
        <v>31</v>
      </c>
      <c r="R6" s="33">
        <f>(P6*0.95*10.7-F$1*24*365)/24/F$2</f>
        <v>100.37440476190476</v>
      </c>
      <c r="U6" s="29">
        <f>B32-B20</f>
        <v>632</v>
      </c>
      <c r="V6" s="29">
        <v>0.75</v>
      </c>
      <c r="W6" s="29">
        <v>1.85</v>
      </c>
      <c r="X6" s="37">
        <f>U6*10.7*V6/W6/24</f>
        <v>114.2297297297297</v>
      </c>
      <c r="Y6" s="37" t="s">
        <v>230</v>
      </c>
    </row>
    <row r="7" spans="1:25">
      <c r="A7" s="34">
        <v>42156</v>
      </c>
      <c r="B7" s="33">
        <v>1015</v>
      </c>
      <c r="C7" s="30">
        <v>17.11</v>
      </c>
      <c r="D7" s="29">
        <f t="shared" ref="D7:D30" si="1">C7</f>
        <v>17.11</v>
      </c>
      <c r="E7" s="30">
        <f t="shared" ref="E7:E30" si="2">(B7-B6)*10.7/(A7-A6)/24*E$3</f>
        <v>0.17258064516129032</v>
      </c>
      <c r="F7" s="29">
        <f t="shared" si="0"/>
        <v>7.0000000000000007E-2</v>
      </c>
      <c r="H7" s="30" t="s">
        <v>228</v>
      </c>
      <c r="I7" s="33"/>
      <c r="J7" s="33"/>
    </row>
    <row r="8" spans="1:25">
      <c r="A8" s="34">
        <v>42186</v>
      </c>
      <c r="B8" s="33">
        <v>1027</v>
      </c>
      <c r="C8" s="30">
        <v>21.29032258064516</v>
      </c>
      <c r="D8" s="29">
        <f t="shared" si="1"/>
        <v>21.29032258064516</v>
      </c>
      <c r="E8" s="30">
        <f t="shared" si="2"/>
        <v>0.13374999999999998</v>
      </c>
      <c r="F8" s="29">
        <f t="shared" si="0"/>
        <v>7.0000000000000007E-2</v>
      </c>
      <c r="H8" s="30"/>
      <c r="I8" s="33"/>
      <c r="J8" s="33"/>
    </row>
    <row r="9" spans="1:25">
      <c r="A9" s="34">
        <v>42217</v>
      </c>
      <c r="B9" s="33">
        <v>1033</v>
      </c>
      <c r="C9" s="30">
        <v>22.480645161290347</v>
      </c>
      <c r="D9" s="29">
        <f t="shared" si="1"/>
        <v>22.480645161290347</v>
      </c>
      <c r="E9" s="30">
        <f t="shared" si="2"/>
        <v>6.4717741935483866E-2</v>
      </c>
      <c r="F9" s="29">
        <f t="shared" si="0"/>
        <v>7.0000000000000007E-2</v>
      </c>
      <c r="H9" s="30"/>
      <c r="I9" s="33"/>
      <c r="J9" s="33"/>
    </row>
    <row r="10" spans="1:25">
      <c r="A10" s="34">
        <v>42248</v>
      </c>
      <c r="B10" s="33">
        <v>1039</v>
      </c>
      <c r="C10" s="30">
        <v>14.083333333333348</v>
      </c>
      <c r="D10" s="29">
        <f t="shared" si="1"/>
        <v>14.083333333333348</v>
      </c>
      <c r="E10" s="30">
        <f t="shared" si="2"/>
        <v>6.4717741935483866E-2</v>
      </c>
      <c r="F10" s="29">
        <f t="shared" si="0"/>
        <v>0.27416666666666567</v>
      </c>
      <c r="H10" s="30"/>
      <c r="I10" s="33"/>
      <c r="J10" s="33"/>
    </row>
    <row r="11" spans="1:25">
      <c r="A11" s="34">
        <v>42278</v>
      </c>
      <c r="B11" s="33">
        <v>1051</v>
      </c>
      <c r="C11" s="30">
        <v>8.6580645161290359</v>
      </c>
      <c r="D11" s="29">
        <f t="shared" si="1"/>
        <v>8.6580645161290359</v>
      </c>
      <c r="E11" s="30">
        <f t="shared" si="2"/>
        <v>0.13374999999999998</v>
      </c>
      <c r="F11" s="29">
        <f t="shared" si="0"/>
        <v>0.65393548387096745</v>
      </c>
      <c r="H11" s="30"/>
      <c r="I11" s="33"/>
      <c r="J11" s="33"/>
    </row>
    <row r="12" spans="1:25">
      <c r="A12" s="34">
        <v>42309</v>
      </c>
      <c r="B12" s="33">
        <v>1095</v>
      </c>
      <c r="C12" s="30">
        <v>6.8866666666666028</v>
      </c>
      <c r="D12" s="29">
        <f t="shared" si="1"/>
        <v>6.8866666666666028</v>
      </c>
      <c r="E12" s="30">
        <f t="shared" si="2"/>
        <v>0.47459677419354829</v>
      </c>
      <c r="F12" s="29">
        <f t="shared" si="0"/>
        <v>0.77793333333333781</v>
      </c>
      <c r="H12" s="30"/>
      <c r="I12" s="33"/>
      <c r="J12" s="33"/>
    </row>
    <row r="13" spans="1:25">
      <c r="A13" s="34">
        <v>42339</v>
      </c>
      <c r="B13" s="33">
        <v>1219</v>
      </c>
      <c r="C13" s="30">
        <v>4.9032258064516272</v>
      </c>
      <c r="D13" s="29">
        <f t="shared" si="1"/>
        <v>4.9032258064516272</v>
      </c>
      <c r="E13" s="30">
        <f t="shared" si="2"/>
        <v>1.3820833333333333</v>
      </c>
      <c r="F13" s="29">
        <f t="shared" si="0"/>
        <v>0.91677419354838618</v>
      </c>
      <c r="H13" s="30"/>
      <c r="I13" s="33"/>
      <c r="J13" s="33"/>
    </row>
    <row r="14" spans="1:25">
      <c r="A14" s="34">
        <v>42370</v>
      </c>
      <c r="B14" s="33">
        <v>1316</v>
      </c>
      <c r="C14" s="30">
        <v>-0.25483870967740763</v>
      </c>
      <c r="D14" s="29">
        <f t="shared" si="1"/>
        <v>-0.25483870967740763</v>
      </c>
      <c r="E14" s="30">
        <f t="shared" si="2"/>
        <v>1.0462701612903225</v>
      </c>
      <c r="F14" s="29">
        <f t="shared" si="0"/>
        <v>1.2778387096774186</v>
      </c>
      <c r="H14" s="30"/>
      <c r="I14" s="33"/>
      <c r="J14" s="33"/>
    </row>
    <row r="15" spans="1:25">
      <c r="A15" s="34">
        <v>42401</v>
      </c>
      <c r="B15" s="33">
        <v>1382</v>
      </c>
      <c r="C15" s="30">
        <v>3.4034482758620785</v>
      </c>
      <c r="D15" s="29">
        <f t="shared" si="1"/>
        <v>3.4034482758620785</v>
      </c>
      <c r="E15" s="30">
        <f t="shared" si="2"/>
        <v>0.71189516129032249</v>
      </c>
      <c r="F15" s="29">
        <f t="shared" si="0"/>
        <v>1.0217586206896545</v>
      </c>
      <c r="H15" s="30"/>
      <c r="I15" s="33"/>
      <c r="J15" s="33"/>
    </row>
    <row r="16" spans="1:25">
      <c r="A16" s="34">
        <v>42430</v>
      </c>
      <c r="B16" s="33">
        <v>1403</v>
      </c>
      <c r="C16" s="30">
        <v>4.4032258064515979</v>
      </c>
      <c r="D16" s="29">
        <f t="shared" si="1"/>
        <v>4.4032258064515979</v>
      </c>
      <c r="E16" s="30">
        <f t="shared" si="2"/>
        <v>0.24213362068965516</v>
      </c>
      <c r="F16" s="29">
        <f t="shared" si="0"/>
        <v>0.9517741935483881</v>
      </c>
      <c r="H16" s="30"/>
      <c r="I16" s="33"/>
      <c r="J16" s="33"/>
    </row>
    <row r="17" spans="1:10">
      <c r="A17" s="34">
        <v>42461</v>
      </c>
      <c r="B17" s="33">
        <v>1493</v>
      </c>
      <c r="C17" s="30">
        <v>9.0266666666666584</v>
      </c>
      <c r="D17" s="29">
        <f t="shared" si="1"/>
        <v>9.0266666666666584</v>
      </c>
      <c r="E17" s="30">
        <f t="shared" si="2"/>
        <v>0.97076612903225801</v>
      </c>
      <c r="F17" s="29">
        <f t="shared" si="0"/>
        <v>0.62813333333333388</v>
      </c>
      <c r="H17" s="30"/>
      <c r="I17" s="33"/>
      <c r="J17" s="33"/>
    </row>
    <row r="18" spans="1:10">
      <c r="A18" s="34">
        <v>42491</v>
      </c>
      <c r="B18" s="33">
        <v>1505</v>
      </c>
      <c r="C18" s="30">
        <v>14.625806451612892</v>
      </c>
      <c r="D18" s="29">
        <f t="shared" si="1"/>
        <v>14.625806451612892</v>
      </c>
      <c r="E18" s="30">
        <f t="shared" si="2"/>
        <v>0.13374999999999998</v>
      </c>
      <c r="F18" s="29">
        <f t="shared" si="0"/>
        <v>0.23619354838709761</v>
      </c>
      <c r="H18" s="30"/>
      <c r="I18" s="33"/>
      <c r="J18" s="33"/>
    </row>
    <row r="19" spans="1:10">
      <c r="A19" s="34">
        <v>42522</v>
      </c>
      <c r="B19" s="33">
        <v>1512</v>
      </c>
      <c r="C19" s="30">
        <v>18.486666666666618</v>
      </c>
      <c r="D19" s="29">
        <f t="shared" si="1"/>
        <v>18.486666666666618</v>
      </c>
      <c r="E19" s="30">
        <f t="shared" si="2"/>
        <v>7.5504032258064513E-2</v>
      </c>
      <c r="F19" s="29">
        <f t="shared" si="0"/>
        <v>7.0000000000000007E-2</v>
      </c>
      <c r="H19" s="30"/>
      <c r="I19" s="33"/>
      <c r="J19" s="33"/>
    </row>
    <row r="20" spans="1:10">
      <c r="A20" s="34">
        <v>42552</v>
      </c>
      <c r="B20" s="33">
        <v>1519</v>
      </c>
      <c r="C20" s="30">
        <v>19.922580645161272</v>
      </c>
      <c r="D20" s="29">
        <f t="shared" si="1"/>
        <v>19.922580645161272</v>
      </c>
      <c r="E20" s="30">
        <f t="shared" si="2"/>
        <v>7.8020833333333331E-2</v>
      </c>
      <c r="F20" s="29">
        <f t="shared" si="0"/>
        <v>7.0000000000000007E-2</v>
      </c>
      <c r="H20" s="30"/>
      <c r="I20" s="33"/>
      <c r="J20" s="33"/>
    </row>
    <row r="21" spans="1:10">
      <c r="A21" s="34">
        <v>42583</v>
      </c>
      <c r="B21" s="33">
        <v>1526</v>
      </c>
      <c r="C21" s="30">
        <v>18.554838709677444</v>
      </c>
      <c r="D21" s="29">
        <f t="shared" si="1"/>
        <v>18.554838709677444</v>
      </c>
      <c r="E21" s="30">
        <f t="shared" si="2"/>
        <v>7.5504032258064513E-2</v>
      </c>
      <c r="F21" s="29">
        <f t="shared" si="0"/>
        <v>7.0000000000000007E-2</v>
      </c>
      <c r="H21" s="30"/>
      <c r="I21" s="33"/>
      <c r="J21" s="33"/>
    </row>
    <row r="22" spans="1:10">
      <c r="A22" s="34">
        <v>42614</v>
      </c>
      <c r="B22" s="33">
        <v>1533</v>
      </c>
      <c r="C22" s="30">
        <v>17.559999999999945</v>
      </c>
      <c r="D22" s="29">
        <f t="shared" si="1"/>
        <v>17.559999999999945</v>
      </c>
      <c r="E22" s="30">
        <f t="shared" si="2"/>
        <v>7.5504032258064513E-2</v>
      </c>
      <c r="F22" s="29">
        <f t="shared" si="0"/>
        <v>7.0000000000000007E-2</v>
      </c>
      <c r="H22" s="30"/>
      <c r="I22" s="33"/>
      <c r="J22" s="33"/>
    </row>
    <row r="23" spans="1:10">
      <c r="A23" s="34">
        <v>42644</v>
      </c>
      <c r="B23" s="33">
        <v>1587</v>
      </c>
      <c r="C23" s="30">
        <v>8.4258064516128393</v>
      </c>
      <c r="D23" s="29">
        <f t="shared" si="1"/>
        <v>8.4258064516128393</v>
      </c>
      <c r="E23" s="30">
        <f t="shared" si="2"/>
        <v>0.60187499999999994</v>
      </c>
      <c r="F23" s="29">
        <f t="shared" si="0"/>
        <v>0.67019354838710132</v>
      </c>
      <c r="H23" s="30"/>
      <c r="I23" s="33"/>
      <c r="J23" s="33"/>
    </row>
    <row r="24" spans="1:10">
      <c r="A24" s="34">
        <v>42675</v>
      </c>
      <c r="B24" s="33">
        <v>1682</v>
      </c>
      <c r="C24" s="30">
        <v>3.2900000000000245</v>
      </c>
      <c r="D24" s="29">
        <f t="shared" si="1"/>
        <v>3.2900000000000245</v>
      </c>
      <c r="E24" s="30">
        <f t="shared" si="2"/>
        <v>1.0246975806451613</v>
      </c>
      <c r="F24" s="29">
        <f t="shared" si="0"/>
        <v>1.0296999999999983</v>
      </c>
      <c r="H24" s="30"/>
      <c r="I24" s="33"/>
      <c r="J24" s="33"/>
    </row>
    <row r="25" spans="1:10">
      <c r="A25" s="34">
        <v>42705</v>
      </c>
      <c r="B25" s="33">
        <v>1765</v>
      </c>
      <c r="C25" s="30">
        <v>0.53548387096778305</v>
      </c>
      <c r="D25" s="29">
        <f t="shared" si="1"/>
        <v>0.53548387096778305</v>
      </c>
      <c r="E25" s="30">
        <f t="shared" si="2"/>
        <v>0.92510416666666662</v>
      </c>
      <c r="F25" s="29">
        <f t="shared" si="0"/>
        <v>1.222516129032255</v>
      </c>
      <c r="H25" s="30"/>
      <c r="I25" s="33"/>
      <c r="J25" s="33"/>
    </row>
    <row r="26" spans="1:10">
      <c r="A26" s="34">
        <v>42736</v>
      </c>
      <c r="B26" s="33">
        <v>1908</v>
      </c>
      <c r="C26" s="30">
        <v>-4.5935483870967921</v>
      </c>
      <c r="D26" s="29">
        <f t="shared" si="1"/>
        <v>-4.5935483870967921</v>
      </c>
      <c r="E26" s="30">
        <f t="shared" si="2"/>
        <v>1.5424395161290319</v>
      </c>
      <c r="F26" s="29">
        <f t="shared" si="0"/>
        <v>1.5815483870967757</v>
      </c>
      <c r="H26" s="30"/>
      <c r="I26" s="33"/>
      <c r="J26" s="33"/>
    </row>
    <row r="27" spans="1:10">
      <c r="A27" s="34">
        <v>42767</v>
      </c>
      <c r="B27" s="33">
        <v>1992</v>
      </c>
      <c r="C27" s="30">
        <v>2.2964285714285455</v>
      </c>
      <c r="D27" s="29">
        <f t="shared" si="1"/>
        <v>2.2964285714285455</v>
      </c>
      <c r="E27" s="30">
        <f t="shared" si="2"/>
        <v>0.90604838709677415</v>
      </c>
      <c r="F27" s="29">
        <f t="shared" si="0"/>
        <v>1.0992500000000018</v>
      </c>
      <c r="H27" s="30"/>
      <c r="I27" s="33"/>
      <c r="J27" s="33"/>
    </row>
    <row r="28" spans="1:10">
      <c r="A28" s="34">
        <v>42795</v>
      </c>
      <c r="B28" s="33">
        <v>2057</v>
      </c>
      <c r="C28" s="30">
        <v>7.5483870967742233</v>
      </c>
      <c r="D28" s="29">
        <f t="shared" si="1"/>
        <v>7.5483870967742233</v>
      </c>
      <c r="E28" s="30">
        <f t="shared" si="2"/>
        <v>0.7762276785714286</v>
      </c>
      <c r="F28" s="29">
        <f t="shared" si="0"/>
        <v>0.7316129032258043</v>
      </c>
      <c r="H28" s="30"/>
      <c r="I28" s="33"/>
      <c r="J28" s="33"/>
    </row>
    <row r="29" spans="1:10">
      <c r="A29" s="34">
        <v>42826</v>
      </c>
      <c r="B29" s="33">
        <v>2119</v>
      </c>
      <c r="C29" s="30">
        <v>8.0766666666666733</v>
      </c>
      <c r="D29" s="29">
        <f t="shared" si="1"/>
        <v>8.0766666666666733</v>
      </c>
      <c r="E29" s="30">
        <f t="shared" si="2"/>
        <v>0.66874999999999996</v>
      </c>
      <c r="F29" s="29">
        <f t="shared" si="0"/>
        <v>0.69463333333333299</v>
      </c>
      <c r="H29" s="30"/>
      <c r="I29" s="33"/>
      <c r="J29" s="33"/>
    </row>
    <row r="30" spans="1:10">
      <c r="A30" s="34">
        <v>42856</v>
      </c>
      <c r="B30" s="33">
        <v>2134</v>
      </c>
      <c r="C30" s="30">
        <v>15.090322580645168</v>
      </c>
      <c r="D30" s="29">
        <f t="shared" si="1"/>
        <v>15.090322580645168</v>
      </c>
      <c r="E30" s="30">
        <f t="shared" si="2"/>
        <v>0.16718749999999999</v>
      </c>
      <c r="F30" s="29">
        <f t="shared" si="0"/>
        <v>0.20367741935483827</v>
      </c>
      <c r="H30" s="30"/>
      <c r="I30" s="33"/>
      <c r="J30" s="33"/>
    </row>
    <row r="31" spans="1:10">
      <c r="A31" s="34">
        <v>42887</v>
      </c>
      <c r="B31" s="33">
        <v>2143</v>
      </c>
      <c r="C31" s="30">
        <v>19.273333333333298</v>
      </c>
      <c r="D31" s="33">
        <f t="shared" ref="D31:D49" si="3">C31</f>
        <v>19.273333333333298</v>
      </c>
      <c r="E31" s="30">
        <f t="shared" ref="E31:E49" si="4">(B31-B30)*10.7/(A31-A30)/24*E$3</f>
        <v>9.7076612903225806E-2</v>
      </c>
      <c r="F31" s="33">
        <f t="shared" si="0"/>
        <v>7.0000000000000007E-2</v>
      </c>
      <c r="H31" s="30"/>
      <c r="I31" s="33"/>
    </row>
    <row r="32" spans="1:10">
      <c r="A32" s="34">
        <v>42917</v>
      </c>
      <c r="B32" s="32">
        <v>2151</v>
      </c>
      <c r="C32" s="30">
        <v>20.083870967741888</v>
      </c>
      <c r="D32" s="33">
        <f t="shared" si="3"/>
        <v>20.083870967741888</v>
      </c>
      <c r="E32" s="30">
        <f t="shared" si="4"/>
        <v>8.9166666666666658E-2</v>
      </c>
      <c r="F32" s="33">
        <f t="shared" si="0"/>
        <v>7.0000000000000007E-2</v>
      </c>
      <c r="H32" s="30"/>
      <c r="I32" s="33"/>
    </row>
    <row r="33" spans="1:9">
      <c r="A33" s="34">
        <v>42948</v>
      </c>
      <c r="B33" s="32">
        <v>2159</v>
      </c>
      <c r="C33" s="30">
        <v>19.338709677419356</v>
      </c>
      <c r="D33" s="33">
        <f t="shared" si="3"/>
        <v>19.338709677419356</v>
      </c>
      <c r="E33" s="30">
        <f t="shared" si="4"/>
        <v>8.629032258064516E-2</v>
      </c>
      <c r="F33" s="33">
        <f t="shared" si="0"/>
        <v>7.0000000000000007E-2</v>
      </c>
      <c r="H33" s="30"/>
      <c r="I33" s="33"/>
    </row>
    <row r="34" spans="1:9">
      <c r="A34" s="34">
        <v>42979</v>
      </c>
      <c r="B34" s="32">
        <v>2188</v>
      </c>
      <c r="C34" s="30">
        <v>13.006666666666872</v>
      </c>
      <c r="D34" s="33">
        <f t="shared" si="3"/>
        <v>13.006666666666872</v>
      </c>
      <c r="E34" s="30">
        <f t="shared" si="4"/>
        <v>0.31280241935483866</v>
      </c>
      <c r="F34" s="33">
        <f t="shared" si="0"/>
        <v>0.34953333333331899</v>
      </c>
      <c r="H34" s="30"/>
      <c r="I34" s="33"/>
    </row>
    <row r="35" spans="1:9">
      <c r="A35" s="34">
        <v>43009</v>
      </c>
      <c r="B35" s="32">
        <v>2229</v>
      </c>
      <c r="C35" s="30">
        <v>10.809677419354909</v>
      </c>
      <c r="D35" s="33">
        <f t="shared" si="3"/>
        <v>10.809677419354909</v>
      </c>
      <c r="E35" s="30">
        <f t="shared" si="4"/>
        <v>0.45697916666666666</v>
      </c>
      <c r="F35" s="33">
        <f t="shared" si="0"/>
        <v>0.50332258064515645</v>
      </c>
      <c r="H35" s="30"/>
      <c r="I35" s="33"/>
    </row>
    <row r="36" spans="1:9">
      <c r="A36" s="34">
        <v>43040</v>
      </c>
      <c r="B36" s="32">
        <v>2287</v>
      </c>
      <c r="C36" s="30">
        <v>4.6066666666667517</v>
      </c>
      <c r="D36" s="33">
        <f t="shared" si="3"/>
        <v>4.6066666666667517</v>
      </c>
      <c r="E36" s="30">
        <f t="shared" si="4"/>
        <v>0.62560483870967731</v>
      </c>
      <c r="F36" s="33">
        <f t="shared" si="0"/>
        <v>0.93753333333332756</v>
      </c>
      <c r="H36" s="30"/>
      <c r="I36" s="33"/>
    </row>
    <row r="37" spans="1:9">
      <c r="A37" s="34">
        <v>43070</v>
      </c>
      <c r="B37" s="32">
        <v>2373</v>
      </c>
      <c r="C37" s="30">
        <v>2.2806451612904635</v>
      </c>
      <c r="D37" s="33">
        <f t="shared" si="3"/>
        <v>2.2806451612904635</v>
      </c>
      <c r="E37" s="30">
        <f t="shared" si="4"/>
        <v>0.95854166666666663</v>
      </c>
      <c r="F37" s="33">
        <f t="shared" si="0"/>
        <v>1.1003548387096675</v>
      </c>
      <c r="H37" s="30"/>
      <c r="I37" s="33"/>
    </row>
    <row r="38" spans="1:9">
      <c r="A38" s="34">
        <v>43101</v>
      </c>
      <c r="B38" s="32">
        <v>2459</v>
      </c>
      <c r="C38" s="30">
        <v>3.2483870967741582</v>
      </c>
      <c r="D38" s="33">
        <f t="shared" si="3"/>
        <v>3.2483870967741582</v>
      </c>
      <c r="E38" s="30">
        <f t="shared" si="4"/>
        <v>0.92762096774193536</v>
      </c>
      <c r="F38" s="33">
        <f t="shared" si="0"/>
        <v>1.0326129032258089</v>
      </c>
      <c r="H38" s="30"/>
      <c r="I38" s="33"/>
    </row>
    <row r="39" spans="1:9">
      <c r="A39" s="34">
        <v>43132</v>
      </c>
      <c r="B39" s="32">
        <v>2560</v>
      </c>
      <c r="C39" s="30">
        <v>-2.5500000000000518</v>
      </c>
      <c r="D39" s="33">
        <f t="shared" si="3"/>
        <v>-2.5500000000000518</v>
      </c>
      <c r="E39" s="30">
        <f t="shared" si="4"/>
        <v>1.0894153225806449</v>
      </c>
      <c r="F39" s="33">
        <f t="shared" si="0"/>
        <v>1.4385000000000037</v>
      </c>
      <c r="H39" s="30"/>
      <c r="I39" s="33"/>
    </row>
    <row r="40" spans="1:9">
      <c r="A40" s="34">
        <v>43160</v>
      </c>
      <c r="B40" s="32">
        <v>2639</v>
      </c>
      <c r="C40" s="30">
        <v>2.3838709677420411</v>
      </c>
      <c r="D40" s="33">
        <f t="shared" si="3"/>
        <v>2.3838709677420411</v>
      </c>
      <c r="E40" s="30">
        <f t="shared" si="4"/>
        <v>0.94341517857142865</v>
      </c>
      <c r="F40" s="33">
        <f t="shared" si="0"/>
        <v>1.0931290322580574</v>
      </c>
      <c r="H40" s="30"/>
      <c r="I40" s="33"/>
    </row>
    <row r="41" spans="1:9">
      <c r="A41" s="34">
        <v>43191</v>
      </c>
      <c r="B41" s="32">
        <v>2677</v>
      </c>
      <c r="C41" s="30">
        <v>13.99333333333337</v>
      </c>
      <c r="D41" s="33">
        <f t="shared" si="3"/>
        <v>13.99333333333337</v>
      </c>
      <c r="E41" s="30">
        <f t="shared" si="4"/>
        <v>0.40987903225806455</v>
      </c>
      <c r="F41" s="33">
        <f t="shared" si="0"/>
        <v>0.2804666666666642</v>
      </c>
      <c r="H41" s="30"/>
      <c r="I41" s="33"/>
    </row>
    <row r="42" spans="1:9">
      <c r="A42" s="34">
        <v>43221</v>
      </c>
      <c r="B42" s="32"/>
      <c r="C42" s="30">
        <v>17.454838709677372</v>
      </c>
      <c r="D42" s="33">
        <f t="shared" si="3"/>
        <v>17.454838709677372</v>
      </c>
      <c r="E42" s="30">
        <f t="shared" si="4"/>
        <v>-29.837395833333332</v>
      </c>
      <c r="F42" s="33">
        <f t="shared" si="0"/>
        <v>7.0000000000000007E-2</v>
      </c>
      <c r="H42" s="30"/>
    </row>
    <row r="43" spans="1:9">
      <c r="A43" s="34">
        <v>43252</v>
      </c>
      <c r="B43" s="32"/>
      <c r="C43" s="30">
        <v>18.759999999999977</v>
      </c>
      <c r="D43" s="33">
        <f t="shared" si="3"/>
        <v>18.759999999999977</v>
      </c>
      <c r="E43" s="30">
        <f t="shared" si="4"/>
        <v>0</v>
      </c>
      <c r="F43" s="33">
        <f t="shared" si="0"/>
        <v>7.0000000000000007E-2</v>
      </c>
      <c r="H43" s="30"/>
    </row>
    <row r="44" spans="1:9">
      <c r="A44" s="34">
        <v>43282</v>
      </c>
      <c r="B44" s="32"/>
      <c r="C44" s="30">
        <v>21.961290322580503</v>
      </c>
      <c r="D44" s="33">
        <f t="shared" si="3"/>
        <v>21.961290322580503</v>
      </c>
      <c r="E44" s="30">
        <f t="shared" si="4"/>
        <v>0</v>
      </c>
      <c r="F44" s="33">
        <f t="shared" si="0"/>
        <v>7.0000000000000007E-2</v>
      </c>
      <c r="H44" s="30"/>
    </row>
    <row r="45" spans="1:9">
      <c r="A45" s="34">
        <v>43313</v>
      </c>
      <c r="B45" s="32"/>
      <c r="C45" s="30">
        <v>21.751612903225901</v>
      </c>
      <c r="D45" s="33">
        <f t="shared" si="3"/>
        <v>21.751612903225901</v>
      </c>
      <c r="E45" s="30">
        <f t="shared" si="4"/>
        <v>0</v>
      </c>
      <c r="F45" s="33">
        <f t="shared" si="0"/>
        <v>7.0000000000000007E-2</v>
      </c>
    </row>
    <row r="46" spans="1:9">
      <c r="A46" s="34">
        <v>43344</v>
      </c>
      <c r="B46" s="32"/>
      <c r="C46" s="30">
        <v>16.043333333333369</v>
      </c>
      <c r="D46" s="33">
        <f t="shared" si="3"/>
        <v>16.043333333333369</v>
      </c>
      <c r="E46" s="30">
        <f t="shared" si="4"/>
        <v>0</v>
      </c>
      <c r="F46" s="33">
        <f t="shared" si="0"/>
        <v>0.13696666666666421</v>
      </c>
    </row>
    <row r="47" spans="1:9">
      <c r="A47" s="34">
        <v>43374</v>
      </c>
      <c r="B47" s="10"/>
      <c r="C47" s="30">
        <v>11.01935483870969</v>
      </c>
      <c r="D47" s="33">
        <f t="shared" si="3"/>
        <v>11.01935483870969</v>
      </c>
      <c r="E47" s="30">
        <f t="shared" si="4"/>
        <v>0</v>
      </c>
      <c r="F47" s="33">
        <f t="shared" si="0"/>
        <v>0.48864516129032176</v>
      </c>
    </row>
    <row r="48" spans="1:9">
      <c r="A48" s="34">
        <v>43405</v>
      </c>
      <c r="B48" s="10"/>
      <c r="C48" s="30">
        <v>4.2866666666666786</v>
      </c>
      <c r="D48" s="33">
        <f t="shared" si="3"/>
        <v>4.2866666666666786</v>
      </c>
      <c r="E48" s="30">
        <f t="shared" si="4"/>
        <v>0</v>
      </c>
      <c r="F48" s="33">
        <f t="shared" si="0"/>
        <v>0.95993333333333242</v>
      </c>
    </row>
    <row r="49" spans="1:6">
      <c r="A49" s="34">
        <v>43435</v>
      </c>
      <c r="B49" s="10"/>
      <c r="C49" s="30">
        <v>3.2290322580642932</v>
      </c>
      <c r="D49" s="33">
        <f t="shared" si="3"/>
        <v>3.2290322580642932</v>
      </c>
      <c r="E49" s="30">
        <f t="shared" si="4"/>
        <v>0</v>
      </c>
      <c r="F49" s="33">
        <f t="shared" si="0"/>
        <v>1.0339677419354996</v>
      </c>
    </row>
    <row r="50" spans="1:6">
      <c r="B50" s="10"/>
    </row>
    <row r="51" spans="1:6">
      <c r="B51" s="10"/>
    </row>
    <row r="52" spans="1:6">
      <c r="B52" s="10"/>
    </row>
    <row r="53" spans="1:6">
      <c r="A53" s="14"/>
      <c r="B53" s="10"/>
    </row>
    <row r="54" spans="1:6">
      <c r="A54" s="14"/>
      <c r="B54" s="10"/>
    </row>
    <row r="55" spans="1:6">
      <c r="A55" s="14"/>
      <c r="B55" s="10"/>
    </row>
    <row r="56" spans="1:6">
      <c r="A56" s="14"/>
      <c r="B56" s="10"/>
    </row>
    <row r="57" spans="1:6">
      <c r="A57" s="15"/>
      <c r="B57" s="16"/>
    </row>
    <row r="58" spans="1:6">
      <c r="A58" s="15"/>
      <c r="B58" s="16"/>
    </row>
    <row r="59" spans="1:6">
      <c r="A59" s="15"/>
      <c r="B59" s="16"/>
    </row>
    <row r="60" spans="1:6">
      <c r="A60" s="15"/>
      <c r="B60" s="16"/>
    </row>
    <row r="61" spans="1:6">
      <c r="A61" s="15"/>
      <c r="B61" s="16"/>
    </row>
    <row r="62" spans="1:6">
      <c r="A62" s="15"/>
      <c r="B62" s="16"/>
    </row>
  </sheetData>
  <hyperlinks>
    <hyperlink ref="K1" r:id="rId1"/>
  </hyperlinks>
  <pageMargins left="0.7" right="0.7" top="0.78740157499999996" bottom="0.78740157499999996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L18"/>
  <sheetViews>
    <sheetView workbookViewId="0">
      <selection activeCell="A2" sqref="A2"/>
    </sheetView>
  </sheetViews>
  <sheetFormatPr defaultRowHeight="15"/>
  <sheetData>
    <row r="1" spans="1:12">
      <c r="A1" s="141" t="s">
        <v>1536</v>
      </c>
      <c r="D1" s="141"/>
      <c r="E1" s="144">
        <v>0.24</v>
      </c>
      <c r="F1" s="141" t="s">
        <v>8</v>
      </c>
      <c r="G1" s="141"/>
      <c r="H1" s="146" t="s">
        <v>421</v>
      </c>
      <c r="I1" s="146"/>
      <c r="J1" s="141"/>
      <c r="K1" s="141"/>
      <c r="L1" s="141"/>
    </row>
    <row r="2" spans="1:12">
      <c r="D2" s="141"/>
      <c r="E2" s="3">
        <v>3.4</v>
      </c>
      <c r="F2" s="141" t="s">
        <v>5</v>
      </c>
      <c r="G2" s="141"/>
      <c r="H2" s="146" t="s">
        <v>1033</v>
      </c>
      <c r="I2" s="141"/>
      <c r="J2" s="141"/>
      <c r="K2" s="141"/>
      <c r="L2" s="141"/>
    </row>
    <row r="3" spans="1:12">
      <c r="D3" s="144">
        <v>0.95</v>
      </c>
      <c r="E3" s="3">
        <v>15.8</v>
      </c>
      <c r="F3" s="141" t="s">
        <v>6</v>
      </c>
      <c r="G3" s="141"/>
      <c r="H3" s="141"/>
      <c r="I3" s="141"/>
      <c r="J3" s="141"/>
      <c r="K3" s="141"/>
      <c r="L3" s="141"/>
    </row>
    <row r="4" spans="1:12">
      <c r="B4" s="141" t="s">
        <v>1032</v>
      </c>
      <c r="C4" s="141" t="s">
        <v>3</v>
      </c>
      <c r="D4" s="141" t="s">
        <v>1</v>
      </c>
      <c r="E4" s="141" t="s">
        <v>2</v>
      </c>
      <c r="F4" s="141"/>
      <c r="G4" s="141"/>
      <c r="H4" s="141"/>
      <c r="I4" s="141"/>
      <c r="J4" s="141"/>
      <c r="K4" s="141"/>
      <c r="L4" s="141"/>
    </row>
    <row r="5" spans="1:12">
      <c r="A5" s="17">
        <v>44001</v>
      </c>
      <c r="B5" s="141">
        <v>14.2</v>
      </c>
      <c r="C5" s="141">
        <v>29.57</v>
      </c>
      <c r="D5" s="141">
        <f t="shared" ref="D5:D6" si="0">C5*10.7/30/24*D$3</f>
        <v>0.41747090277777776</v>
      </c>
      <c r="E5" s="141">
        <f t="shared" ref="E5:E6" si="1">E$1+(IF(E$3-$B5&gt;0,E$3-$B5,0)*E$2/30)</f>
        <v>0.42133333333333345</v>
      </c>
      <c r="F5" s="141"/>
      <c r="G5" s="141"/>
      <c r="H5" s="141"/>
      <c r="I5" s="141"/>
      <c r="J5" s="141"/>
      <c r="K5" s="141"/>
      <c r="L5" s="141"/>
    </row>
    <row r="6" spans="1:12">
      <c r="A6" s="17">
        <v>44031</v>
      </c>
      <c r="B6" s="141">
        <v>18.580000000000048</v>
      </c>
      <c r="C6" s="141">
        <v>20</v>
      </c>
      <c r="D6" s="141">
        <f t="shared" si="0"/>
        <v>0.28236111111111112</v>
      </c>
      <c r="E6" s="141">
        <f t="shared" si="1"/>
        <v>0.24</v>
      </c>
      <c r="F6" s="141"/>
      <c r="G6" s="141"/>
      <c r="H6" s="141"/>
      <c r="I6" s="141"/>
      <c r="J6" s="141"/>
      <c r="K6" s="141"/>
      <c r="L6" s="141"/>
    </row>
    <row r="7" spans="1:12">
      <c r="A7" s="17">
        <v>44062</v>
      </c>
      <c r="B7" s="141">
        <v>21.148387096774265</v>
      </c>
      <c r="C7" s="141">
        <v>14.9</v>
      </c>
      <c r="D7" s="141">
        <f>C7*10.7/30/24*D$3</f>
        <v>0.21035902777777779</v>
      </c>
      <c r="E7" s="141">
        <f t="shared" ref="E7:E13" si="2">E$1+(IF(E$3-$B7&gt;0,E$3-$B7,0)*E$2/30)</f>
        <v>0.24</v>
      </c>
      <c r="F7" s="141"/>
      <c r="G7" s="141"/>
      <c r="H7" s="141"/>
      <c r="I7" s="141"/>
      <c r="J7" s="141"/>
    </row>
    <row r="8" spans="1:12">
      <c r="A8" s="17">
        <v>44095</v>
      </c>
      <c r="B8" s="141">
        <v>17.899999999999913</v>
      </c>
      <c r="C8" s="141">
        <v>16.89</v>
      </c>
      <c r="D8" s="141">
        <f t="shared" ref="D8:D13" si="3">C8*10.7/30/24*D$3</f>
        <v>0.2384539583333333</v>
      </c>
      <c r="E8" s="141">
        <f t="shared" si="2"/>
        <v>0.24</v>
      </c>
      <c r="F8" s="141"/>
      <c r="G8" s="141"/>
      <c r="H8" s="141"/>
      <c r="I8" s="141"/>
      <c r="J8" s="141"/>
    </row>
    <row r="9" spans="1:12">
      <c r="A9" s="17">
        <v>44107</v>
      </c>
      <c r="B9" s="141">
        <v>12.899999999999332</v>
      </c>
      <c r="C9" s="141">
        <v>43.57</v>
      </c>
      <c r="D9" s="141">
        <f t="shared" si="3"/>
        <v>0.61512368055555544</v>
      </c>
      <c r="E9" s="141">
        <f t="shared" si="2"/>
        <v>0.56866666666674237</v>
      </c>
      <c r="F9" s="141"/>
      <c r="G9" s="141"/>
      <c r="H9" s="141"/>
      <c r="I9" s="141"/>
      <c r="J9" s="141"/>
    </row>
    <row r="10" spans="1:12">
      <c r="A10" s="17">
        <v>44155</v>
      </c>
      <c r="B10" s="141">
        <v>8.591666666666848</v>
      </c>
      <c r="C10" s="141">
        <v>70.680000000000007</v>
      </c>
      <c r="D10" s="141">
        <f t="shared" si="3"/>
        <v>0.99786416666666677</v>
      </c>
      <c r="E10" s="141">
        <f t="shared" si="2"/>
        <v>1.056944444444424</v>
      </c>
      <c r="F10" s="141"/>
      <c r="G10" s="141"/>
      <c r="H10" s="141"/>
    </row>
    <row r="11" spans="1:12">
      <c r="A11" s="17">
        <v>44184</v>
      </c>
      <c r="B11" s="141">
        <v>2.1827586206896301</v>
      </c>
      <c r="C11" s="141">
        <v>124.26</v>
      </c>
      <c r="D11" s="141">
        <f t="shared" si="3"/>
        <v>1.7543095833333331</v>
      </c>
      <c r="E11" s="141">
        <f t="shared" si="2"/>
        <v>1.7832873563218419</v>
      </c>
      <c r="F11" s="141"/>
      <c r="G11" s="141"/>
      <c r="H11" s="141"/>
    </row>
    <row r="12" spans="1:12">
      <c r="A12" s="17">
        <v>44215</v>
      </c>
      <c r="B12" s="141">
        <v>0.80322580645177721</v>
      </c>
      <c r="C12" s="141">
        <v>138.06</v>
      </c>
      <c r="D12" s="141">
        <f t="shared" si="3"/>
        <v>1.9491387499999997</v>
      </c>
      <c r="E12" s="141">
        <f t="shared" si="2"/>
        <v>1.939634408602132</v>
      </c>
      <c r="F12" s="141"/>
      <c r="G12" s="141"/>
      <c r="H12" s="141"/>
    </row>
    <row r="13" spans="1:12">
      <c r="A13" s="17">
        <v>44246</v>
      </c>
      <c r="B13" s="141">
        <v>-0.94838709677435784</v>
      </c>
      <c r="C13" s="141">
        <v>156</v>
      </c>
      <c r="D13" s="141">
        <f t="shared" si="3"/>
        <v>2.2024166666666662</v>
      </c>
      <c r="E13" s="141">
        <f t="shared" si="2"/>
        <v>2.1381505376344272</v>
      </c>
      <c r="F13" s="141"/>
      <c r="G13" s="141"/>
      <c r="H13" s="141"/>
    </row>
    <row r="14" spans="1:12">
      <c r="A14" s="17"/>
      <c r="C14" s="141"/>
      <c r="D14" s="141"/>
      <c r="E14" s="141"/>
      <c r="F14" s="141"/>
      <c r="G14" s="141"/>
      <c r="H14" s="141"/>
    </row>
    <row r="15" spans="1:12">
      <c r="A15" s="17"/>
      <c r="C15" s="141"/>
      <c r="D15" s="141"/>
      <c r="E15" s="141"/>
      <c r="F15" s="141"/>
      <c r="G15" s="141"/>
      <c r="H15" s="141"/>
    </row>
    <row r="16" spans="1:12">
      <c r="D16" s="141"/>
      <c r="E16" s="141"/>
      <c r="F16" s="141"/>
    </row>
    <row r="17" spans="4:6">
      <c r="D17" s="141"/>
      <c r="E17" s="141"/>
      <c r="F17" s="141"/>
    </row>
    <row r="18" spans="4:6">
      <c r="D18" s="141"/>
      <c r="E18" s="141"/>
      <c r="F18" s="141"/>
    </row>
  </sheetData>
  <hyperlinks>
    <hyperlink ref="H2" r:id="rId1" location="text71"/>
    <hyperlink ref="H1" r:id="rId2"/>
  </hyperlinks>
  <pageMargins left="0.7" right="0.7" top="0.78740157499999996" bottom="0.78740157499999996" header="0.3" footer="0.3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Q93"/>
  <sheetViews>
    <sheetView workbookViewId="0">
      <selection activeCell="A2" sqref="A2"/>
    </sheetView>
  </sheetViews>
  <sheetFormatPr defaultRowHeight="15"/>
  <cols>
    <col min="1" max="1" width="13" style="43" customWidth="1"/>
    <col min="2" max="7" width="7.28515625" style="43" customWidth="1"/>
    <col min="8" max="16384" width="9.140625" style="43"/>
  </cols>
  <sheetData>
    <row r="1" spans="1:17">
      <c r="A1" s="141" t="s">
        <v>1537</v>
      </c>
      <c r="D1" s="2">
        <v>2.8</v>
      </c>
      <c r="E1" s="43" t="s">
        <v>56</v>
      </c>
      <c r="Q1" s="40" t="s">
        <v>54</v>
      </c>
    </row>
    <row r="2" spans="1:17">
      <c r="D2" s="2">
        <v>21</v>
      </c>
      <c r="E2" s="43" t="s">
        <v>135</v>
      </c>
      <c r="Q2" s="40" t="s">
        <v>53</v>
      </c>
    </row>
    <row r="3" spans="1:17">
      <c r="D3" s="2">
        <v>2.4</v>
      </c>
      <c r="E3" s="43" t="s">
        <v>191</v>
      </c>
      <c r="H3" s="43" t="s">
        <v>55</v>
      </c>
    </row>
    <row r="4" spans="1:17">
      <c r="F4" s="43">
        <f>SUM(F9:F85)/77</f>
        <v>-0.15221672077922077</v>
      </c>
    </row>
    <row r="5" spans="1:17">
      <c r="A5" s="37" t="s">
        <v>134</v>
      </c>
      <c r="K5" s="43">
        <v>-0.5</v>
      </c>
    </row>
    <row r="6" spans="1:17">
      <c r="C6" s="43">
        <v>0.95</v>
      </c>
      <c r="K6" s="2">
        <v>1</v>
      </c>
      <c r="L6" s="43">
        <f>SUM(L9:L85)/77</f>
        <v>-0.35952380952380919</v>
      </c>
    </row>
    <row r="7" spans="1:17">
      <c r="B7" s="43" t="s">
        <v>3</v>
      </c>
      <c r="C7" s="43" t="s">
        <v>1</v>
      </c>
      <c r="D7" s="43" t="s">
        <v>190</v>
      </c>
      <c r="E7" s="43" t="s">
        <v>52</v>
      </c>
      <c r="F7" s="43" t="s">
        <v>189</v>
      </c>
      <c r="G7" s="43" t="s">
        <v>188</v>
      </c>
      <c r="H7" s="43" t="s">
        <v>187</v>
      </c>
      <c r="J7" s="43" t="s">
        <v>186</v>
      </c>
      <c r="K7" s="43" t="s">
        <v>185</v>
      </c>
    </row>
    <row r="8" spans="1:17">
      <c r="A8" s="41">
        <v>43438</v>
      </c>
      <c r="B8" s="43">
        <v>364.3</v>
      </c>
      <c r="D8" s="43">
        <f t="shared" ref="D8:D39" si="0">(D$2-H8)*D$1/30-D$3*G8/60/24</f>
        <v>1.3626666666666667</v>
      </c>
      <c r="E8" s="43">
        <f t="shared" ref="E8:E39" si="1">(D$2-H8)*D$1/30</f>
        <v>1.3626666666666667</v>
      </c>
      <c r="H8" s="43">
        <v>6.3999999999999986</v>
      </c>
      <c r="J8" s="43">
        <v>6.3999999999999986</v>
      </c>
    </row>
    <row r="9" spans="1:17">
      <c r="A9" s="41">
        <v>43439</v>
      </c>
      <c r="B9" s="43">
        <v>369</v>
      </c>
      <c r="C9" s="43">
        <f t="shared" ref="C9:C40" si="2">(B9-B8)/(A9-A8)*10.7/24*C$6</f>
        <v>1.9906458333333283</v>
      </c>
      <c r="D9" s="43">
        <f t="shared" si="0"/>
        <v>1.4339999999999997</v>
      </c>
      <c r="E9" s="43">
        <f t="shared" si="1"/>
        <v>1.9039999999999997</v>
      </c>
      <c r="F9" s="43">
        <f t="shared" ref="F9:F40" si="3">C9-E9</f>
        <v>8.6645833333328648E-2</v>
      </c>
      <c r="G9" s="43">
        <v>282</v>
      </c>
      <c r="H9" s="43">
        <v>0.60000000000000142</v>
      </c>
      <c r="I9" s="43">
        <v>0.5</v>
      </c>
      <c r="J9" s="43">
        <v>0.60000000000000142</v>
      </c>
      <c r="K9" s="43">
        <f t="shared" ref="K9:K40" si="4">M9+K$6+G9*K$5/60</f>
        <v>-0.85000000000000009</v>
      </c>
      <c r="L9" s="43">
        <f t="shared" ref="L9:L40" si="5">K9-J9</f>
        <v>-1.4500000000000015</v>
      </c>
      <c r="M9" s="43">
        <v>0.5</v>
      </c>
    </row>
    <row r="10" spans="1:17">
      <c r="A10" s="41">
        <v>43440</v>
      </c>
      <c r="B10" s="43">
        <v>371.6</v>
      </c>
      <c r="C10" s="43">
        <f t="shared" si="2"/>
        <v>1.1012083333333429</v>
      </c>
      <c r="D10" s="43">
        <f t="shared" si="0"/>
        <v>1.7766666666666666</v>
      </c>
      <c r="E10" s="43">
        <f t="shared" si="1"/>
        <v>1.8666666666666667</v>
      </c>
      <c r="F10" s="43">
        <f t="shared" si="3"/>
        <v>-0.7654583333333238</v>
      </c>
      <c r="G10" s="43">
        <v>54</v>
      </c>
      <c r="H10" s="43">
        <v>1</v>
      </c>
      <c r="I10" s="43">
        <v>-0.5</v>
      </c>
      <c r="J10" s="43">
        <v>1</v>
      </c>
      <c r="K10" s="43">
        <f t="shared" si="4"/>
        <v>4.9999999999999989E-2</v>
      </c>
      <c r="L10" s="43">
        <f t="shared" si="5"/>
        <v>-0.95</v>
      </c>
      <c r="M10" s="43">
        <v>-0.5</v>
      </c>
    </row>
    <row r="11" spans="1:17">
      <c r="A11" s="41">
        <v>43441</v>
      </c>
      <c r="B11" s="43">
        <v>374</v>
      </c>
      <c r="C11" s="43">
        <f t="shared" si="2"/>
        <v>1.0164999999999904</v>
      </c>
      <c r="D11" s="43">
        <f t="shared" si="0"/>
        <v>1.1386666666666665</v>
      </c>
      <c r="E11" s="43">
        <f t="shared" si="1"/>
        <v>1.1386666666666665</v>
      </c>
      <c r="F11" s="43">
        <f t="shared" si="3"/>
        <v>-0.12216666666667608</v>
      </c>
      <c r="H11" s="43">
        <v>8.8000000000000007</v>
      </c>
      <c r="I11" s="43">
        <v>4.0999999999999996</v>
      </c>
      <c r="J11" s="43">
        <v>8.8000000000000007</v>
      </c>
      <c r="K11" s="43">
        <f t="shared" si="4"/>
        <v>5.0999999999999996</v>
      </c>
      <c r="L11" s="43">
        <f t="shared" si="5"/>
        <v>-3.7000000000000011</v>
      </c>
      <c r="M11" s="43">
        <v>4.0999999999999996</v>
      </c>
    </row>
    <row r="12" spans="1:17">
      <c r="A12" s="41">
        <v>43442</v>
      </c>
      <c r="B12" s="43">
        <v>376.7</v>
      </c>
      <c r="C12" s="43">
        <f t="shared" si="2"/>
        <v>1.1435624999999949</v>
      </c>
      <c r="D12" s="43">
        <f t="shared" si="0"/>
        <v>1.1453333333333333</v>
      </c>
      <c r="E12" s="43">
        <f t="shared" si="1"/>
        <v>1.3253333333333333</v>
      </c>
      <c r="F12" s="43">
        <f t="shared" si="3"/>
        <v>-0.18177083333333832</v>
      </c>
      <c r="G12" s="43">
        <v>108</v>
      </c>
      <c r="H12" s="43">
        <v>6.8000000000000007</v>
      </c>
      <c r="I12" s="43">
        <v>6.2</v>
      </c>
      <c r="J12" s="43">
        <v>6.8000000000000007</v>
      </c>
      <c r="K12" s="43">
        <f t="shared" si="4"/>
        <v>6.3</v>
      </c>
      <c r="L12" s="43">
        <f t="shared" si="5"/>
        <v>-0.50000000000000089</v>
      </c>
      <c r="M12" s="43">
        <v>6.2</v>
      </c>
    </row>
    <row r="13" spans="1:17">
      <c r="A13" s="41">
        <v>43443</v>
      </c>
      <c r="B13" s="43">
        <v>380.7</v>
      </c>
      <c r="C13" s="43">
        <f t="shared" si="2"/>
        <v>1.6941666666666664</v>
      </c>
      <c r="D13" s="43">
        <f t="shared" si="0"/>
        <v>1.2193333333333332</v>
      </c>
      <c r="E13" s="43">
        <f t="shared" si="1"/>
        <v>1.2693333333333332</v>
      </c>
      <c r="F13" s="43">
        <f t="shared" si="3"/>
        <v>0.42483333333333317</v>
      </c>
      <c r="G13" s="43">
        <v>30</v>
      </c>
      <c r="H13" s="43">
        <v>7.3999999999999986</v>
      </c>
      <c r="I13" s="43">
        <v>6.8</v>
      </c>
      <c r="J13" s="43">
        <v>7.3999999999999986</v>
      </c>
      <c r="K13" s="43">
        <f t="shared" si="4"/>
        <v>7.55</v>
      </c>
      <c r="L13" s="43">
        <f t="shared" si="5"/>
        <v>0.15000000000000124</v>
      </c>
      <c r="M13" s="43">
        <v>6.8</v>
      </c>
    </row>
    <row r="14" spans="1:17">
      <c r="A14" s="41">
        <v>43444</v>
      </c>
      <c r="B14" s="43">
        <v>384.4</v>
      </c>
      <c r="C14" s="43">
        <f t="shared" si="2"/>
        <v>1.5671041666666616</v>
      </c>
      <c r="D14" s="43">
        <f t="shared" si="0"/>
        <v>1.4346666666666668</v>
      </c>
      <c r="E14" s="43">
        <f t="shared" si="1"/>
        <v>1.6146666666666667</v>
      </c>
      <c r="F14" s="43">
        <f t="shared" si="3"/>
        <v>-4.7562500000005059E-2</v>
      </c>
      <c r="G14" s="43">
        <v>108</v>
      </c>
      <c r="H14" s="43">
        <v>3.6999999999999993</v>
      </c>
      <c r="I14" s="43">
        <v>3.7</v>
      </c>
      <c r="J14" s="43">
        <v>3.6999999999999993</v>
      </c>
      <c r="K14" s="43">
        <f t="shared" si="4"/>
        <v>3.8000000000000003</v>
      </c>
      <c r="L14" s="43">
        <f t="shared" si="5"/>
        <v>0.10000000000000098</v>
      </c>
      <c r="M14" s="43">
        <v>3.7</v>
      </c>
    </row>
    <row r="15" spans="1:17">
      <c r="A15" s="41">
        <v>43445</v>
      </c>
      <c r="B15" s="43">
        <v>388.8</v>
      </c>
      <c r="C15" s="43">
        <f t="shared" si="2"/>
        <v>1.8635833333333476</v>
      </c>
      <c r="D15" s="43">
        <f t="shared" si="0"/>
        <v>1.7453333333333332</v>
      </c>
      <c r="E15" s="43">
        <f t="shared" si="1"/>
        <v>1.7453333333333332</v>
      </c>
      <c r="F15" s="43">
        <f t="shared" si="3"/>
        <v>0.1182500000000144</v>
      </c>
      <c r="H15" s="43">
        <v>2.3000000000000007</v>
      </c>
      <c r="I15" s="43">
        <v>1.3</v>
      </c>
      <c r="J15" s="43">
        <v>2.3000000000000007</v>
      </c>
      <c r="K15" s="43">
        <f t="shared" si="4"/>
        <v>2.2999999999999998</v>
      </c>
      <c r="L15" s="43">
        <f t="shared" si="5"/>
        <v>0</v>
      </c>
      <c r="M15" s="43">
        <v>1.3</v>
      </c>
    </row>
    <row r="16" spans="1:17">
      <c r="A16" s="41">
        <v>43446</v>
      </c>
      <c r="B16" s="43">
        <v>393.4</v>
      </c>
      <c r="C16" s="43">
        <f t="shared" si="2"/>
        <v>1.9482916666666517</v>
      </c>
      <c r="D16" s="43">
        <f t="shared" si="0"/>
        <v>1.8573333333333331</v>
      </c>
      <c r="E16" s="43">
        <f t="shared" si="1"/>
        <v>1.8573333333333331</v>
      </c>
      <c r="F16" s="43">
        <f t="shared" si="3"/>
        <v>9.0958333333318597E-2</v>
      </c>
      <c r="H16" s="43">
        <v>1.1000000000000014</v>
      </c>
      <c r="I16" s="43">
        <v>1.2</v>
      </c>
      <c r="J16" s="43">
        <v>1.1000000000000014</v>
      </c>
      <c r="K16" s="43">
        <f t="shared" si="4"/>
        <v>2.2000000000000002</v>
      </c>
      <c r="L16" s="43">
        <f t="shared" si="5"/>
        <v>1.0999999999999988</v>
      </c>
      <c r="M16" s="43">
        <v>1.2</v>
      </c>
    </row>
    <row r="17" spans="1:15">
      <c r="A17" s="41">
        <v>43447</v>
      </c>
      <c r="B17" s="43">
        <v>398</v>
      </c>
      <c r="C17" s="43">
        <f t="shared" si="2"/>
        <v>1.9482916666666763</v>
      </c>
      <c r="D17" s="43">
        <f t="shared" si="0"/>
        <v>2.1933333333333334</v>
      </c>
      <c r="E17" s="43">
        <f t="shared" si="1"/>
        <v>2.1933333333333334</v>
      </c>
      <c r="F17" s="43">
        <f t="shared" si="3"/>
        <v>-0.24504166666665705</v>
      </c>
      <c r="H17" s="43">
        <v>-2.5</v>
      </c>
      <c r="I17" s="43">
        <v>-0.5</v>
      </c>
      <c r="J17" s="43">
        <v>-2.5</v>
      </c>
      <c r="K17" s="43">
        <f t="shared" si="4"/>
        <v>0.5</v>
      </c>
      <c r="L17" s="43">
        <f t="shared" si="5"/>
        <v>3</v>
      </c>
      <c r="M17" s="43">
        <v>-0.5</v>
      </c>
    </row>
    <row r="18" spans="1:15">
      <c r="A18" s="41">
        <v>43448</v>
      </c>
      <c r="B18" s="43">
        <v>401</v>
      </c>
      <c r="C18" s="43">
        <f t="shared" si="2"/>
        <v>1.2706249999999997</v>
      </c>
      <c r="D18" s="43">
        <f t="shared" si="0"/>
        <v>2.1933333333333334</v>
      </c>
      <c r="E18" s="43">
        <f t="shared" si="1"/>
        <v>2.1933333333333334</v>
      </c>
      <c r="F18" s="43">
        <f t="shared" si="3"/>
        <v>-0.92270833333333369</v>
      </c>
      <c r="H18" s="43">
        <v>-2.5</v>
      </c>
      <c r="I18" s="43">
        <v>-2.4</v>
      </c>
      <c r="J18" s="43">
        <v>-2.5</v>
      </c>
      <c r="K18" s="43">
        <f t="shared" si="4"/>
        <v>-1.4</v>
      </c>
      <c r="L18" s="43">
        <f t="shared" si="5"/>
        <v>1.1000000000000001</v>
      </c>
      <c r="M18" s="43">
        <v>-2.4</v>
      </c>
    </row>
    <row r="19" spans="1:15">
      <c r="A19" s="41">
        <v>43449</v>
      </c>
      <c r="B19" s="43">
        <v>403</v>
      </c>
      <c r="C19" s="43">
        <f t="shared" si="2"/>
        <v>0.84708333333333319</v>
      </c>
      <c r="D19" s="43">
        <f t="shared" si="0"/>
        <v>2.1093333333333333</v>
      </c>
      <c r="E19" s="43">
        <f t="shared" si="1"/>
        <v>2.1093333333333333</v>
      </c>
      <c r="F19" s="43">
        <f t="shared" si="3"/>
        <v>-1.2622500000000001</v>
      </c>
      <c r="H19" s="43">
        <v>-1.6000000000000014</v>
      </c>
      <c r="I19" s="43">
        <v>-0.8</v>
      </c>
      <c r="J19" s="43">
        <v>-1.6000000000000014</v>
      </c>
      <c r="K19" s="43">
        <f t="shared" si="4"/>
        <v>0.19999999999999996</v>
      </c>
      <c r="L19" s="43">
        <f t="shared" si="5"/>
        <v>1.8000000000000014</v>
      </c>
      <c r="M19" s="43">
        <v>-0.8</v>
      </c>
    </row>
    <row r="20" spans="1:15">
      <c r="A20" s="41">
        <v>43450</v>
      </c>
      <c r="B20" s="43">
        <v>407.9</v>
      </c>
      <c r="C20" s="43">
        <f t="shared" si="2"/>
        <v>2.0753541666666568</v>
      </c>
      <c r="D20" s="43">
        <f t="shared" si="0"/>
        <v>2.1933333333333334</v>
      </c>
      <c r="E20" s="43">
        <f t="shared" si="1"/>
        <v>2.1933333333333334</v>
      </c>
      <c r="F20" s="43">
        <f t="shared" si="3"/>
        <v>-0.11797916666667652</v>
      </c>
      <c r="H20" s="43">
        <v>-2.5</v>
      </c>
      <c r="I20" s="43">
        <v>-1.7</v>
      </c>
      <c r="J20" s="43">
        <v>-2.5</v>
      </c>
      <c r="K20" s="43">
        <f t="shared" si="4"/>
        <v>-0.7</v>
      </c>
      <c r="L20" s="43">
        <f t="shared" si="5"/>
        <v>1.8</v>
      </c>
      <c r="M20" s="43">
        <v>-1.7</v>
      </c>
    </row>
    <row r="21" spans="1:15">
      <c r="A21" s="41">
        <v>43451</v>
      </c>
      <c r="B21" s="43">
        <v>413.9</v>
      </c>
      <c r="C21" s="43">
        <f t="shared" si="2"/>
        <v>2.5412499999999993</v>
      </c>
      <c r="D21" s="43">
        <f t="shared" si="0"/>
        <v>1.7453333333333332</v>
      </c>
      <c r="E21" s="43">
        <f t="shared" si="1"/>
        <v>1.8853333333333331</v>
      </c>
      <c r="F21" s="43">
        <f t="shared" si="3"/>
        <v>0.65591666666666626</v>
      </c>
      <c r="G21" s="43">
        <v>84</v>
      </c>
      <c r="H21" s="43">
        <v>0.80000000000000071</v>
      </c>
      <c r="I21" s="43">
        <v>-1.1000000000000001</v>
      </c>
      <c r="J21" s="43">
        <v>0.80000000000000071</v>
      </c>
      <c r="K21" s="43">
        <f t="shared" si="4"/>
        <v>-0.8</v>
      </c>
      <c r="L21" s="43">
        <f t="shared" si="5"/>
        <v>-1.6000000000000008</v>
      </c>
      <c r="M21" s="43">
        <v>-1.1000000000000001</v>
      </c>
    </row>
    <row r="22" spans="1:15">
      <c r="A22" s="41">
        <v>43452</v>
      </c>
      <c r="B22" s="43">
        <v>418.1</v>
      </c>
      <c r="C22" s="43">
        <f t="shared" si="2"/>
        <v>1.7788750000000189</v>
      </c>
      <c r="D22" s="43">
        <f t="shared" si="0"/>
        <v>1.8106666666666664</v>
      </c>
      <c r="E22" s="43">
        <f t="shared" si="1"/>
        <v>1.8106666666666664</v>
      </c>
      <c r="F22" s="43">
        <f t="shared" si="3"/>
        <v>-3.1791666666647567E-2</v>
      </c>
      <c r="H22" s="43">
        <v>1.6000000000000014</v>
      </c>
      <c r="I22" s="43">
        <v>-0.4</v>
      </c>
      <c r="J22" s="43">
        <v>1.6000000000000014</v>
      </c>
      <c r="K22" s="43">
        <f t="shared" si="4"/>
        <v>0.6</v>
      </c>
      <c r="L22" s="43">
        <f t="shared" si="5"/>
        <v>-1.0000000000000013</v>
      </c>
      <c r="M22" s="43">
        <v>-0.4</v>
      </c>
    </row>
    <row r="23" spans="1:15">
      <c r="A23" s="45">
        <v>43453</v>
      </c>
      <c r="B23" s="43">
        <v>421</v>
      </c>
      <c r="C23" s="43">
        <f t="shared" si="2"/>
        <v>1.2282708333333237</v>
      </c>
      <c r="D23" s="43">
        <f t="shared" si="0"/>
        <v>1.3706666666666663</v>
      </c>
      <c r="E23" s="43">
        <f t="shared" si="1"/>
        <v>1.9506666666666663</v>
      </c>
      <c r="F23" s="43">
        <f t="shared" si="3"/>
        <v>-0.72239583333334267</v>
      </c>
      <c r="G23" s="43">
        <v>348</v>
      </c>
      <c r="H23" s="44">
        <v>0.10000000000000142</v>
      </c>
      <c r="I23" s="43">
        <v>-0.8</v>
      </c>
      <c r="J23" s="44">
        <v>0.10000000000000142</v>
      </c>
      <c r="K23" s="43">
        <f t="shared" si="4"/>
        <v>-2.7</v>
      </c>
      <c r="L23" s="43">
        <f t="shared" si="5"/>
        <v>-2.8000000000000016</v>
      </c>
      <c r="M23" s="43">
        <v>-0.8</v>
      </c>
    </row>
    <row r="24" spans="1:15">
      <c r="A24" s="45">
        <v>43454</v>
      </c>
      <c r="B24" s="43">
        <v>425.6</v>
      </c>
      <c r="C24" s="43">
        <f t="shared" si="2"/>
        <v>1.9482916666666763</v>
      </c>
      <c r="D24" s="43">
        <f t="shared" si="0"/>
        <v>1.6453333333333331</v>
      </c>
      <c r="E24" s="43">
        <f t="shared" si="1"/>
        <v>1.8853333333333331</v>
      </c>
      <c r="F24" s="43">
        <f t="shared" si="3"/>
        <v>6.2958333333343219E-2</v>
      </c>
      <c r="G24" s="43">
        <v>144</v>
      </c>
      <c r="H24" s="44">
        <v>0.80000000000000071</v>
      </c>
      <c r="I24" s="43">
        <v>0.3</v>
      </c>
      <c r="J24" s="44">
        <v>0.80000000000000071</v>
      </c>
      <c r="K24" s="43">
        <f t="shared" si="4"/>
        <v>0.10000000000000009</v>
      </c>
      <c r="L24" s="43">
        <f t="shared" si="5"/>
        <v>-0.70000000000000062</v>
      </c>
      <c r="M24" s="43">
        <v>0.3</v>
      </c>
    </row>
    <row r="25" spans="1:15">
      <c r="A25" s="45">
        <v>43455</v>
      </c>
      <c r="B25" s="43">
        <v>429</v>
      </c>
      <c r="C25" s="43">
        <f t="shared" si="2"/>
        <v>1.4400416666666569</v>
      </c>
      <c r="D25" s="43">
        <f t="shared" si="0"/>
        <v>1.4093333333333333</v>
      </c>
      <c r="E25" s="43">
        <f t="shared" si="1"/>
        <v>1.4093333333333333</v>
      </c>
      <c r="F25" s="43">
        <f t="shared" si="3"/>
        <v>3.0708333333323568E-2</v>
      </c>
      <c r="H25" s="44">
        <v>5.8999999999999986</v>
      </c>
      <c r="I25" s="43">
        <v>3.6</v>
      </c>
      <c r="J25" s="44">
        <v>5.8999999999999986</v>
      </c>
      <c r="K25" s="43">
        <f t="shared" si="4"/>
        <v>4.5999999999999996</v>
      </c>
      <c r="L25" s="43">
        <f t="shared" si="5"/>
        <v>-1.2999999999999989</v>
      </c>
      <c r="M25" s="43">
        <v>3.6</v>
      </c>
    </row>
    <row r="26" spans="1:15">
      <c r="A26" s="45">
        <v>43456</v>
      </c>
      <c r="B26" s="43">
        <v>432.4</v>
      </c>
      <c r="C26" s="43">
        <f t="shared" si="2"/>
        <v>1.4400416666666569</v>
      </c>
      <c r="D26" s="43">
        <f t="shared" si="0"/>
        <v>0.98866666666666658</v>
      </c>
      <c r="E26" s="43">
        <f t="shared" si="1"/>
        <v>1.0919999999999999</v>
      </c>
      <c r="F26" s="43">
        <f t="shared" si="3"/>
        <v>0.34804166666665703</v>
      </c>
      <c r="G26" s="43">
        <v>62</v>
      </c>
      <c r="H26" s="44">
        <v>9.3000000000000007</v>
      </c>
      <c r="I26" s="43">
        <v>6</v>
      </c>
      <c r="J26" s="44">
        <v>9.3000000000000007</v>
      </c>
      <c r="K26" s="43">
        <f t="shared" si="4"/>
        <v>6.4833333333333334</v>
      </c>
      <c r="L26" s="43">
        <f t="shared" si="5"/>
        <v>-2.8166666666666673</v>
      </c>
      <c r="M26" s="43">
        <v>6</v>
      </c>
    </row>
    <row r="27" spans="1:15">
      <c r="A27" s="45">
        <v>43457</v>
      </c>
      <c r="B27" s="43">
        <v>435.3</v>
      </c>
      <c r="C27" s="43">
        <f t="shared" si="2"/>
        <v>1.2282708333333476</v>
      </c>
      <c r="D27" s="43">
        <f t="shared" si="0"/>
        <v>1.3439999999999999</v>
      </c>
      <c r="E27" s="43">
        <f t="shared" si="1"/>
        <v>1.3439999999999999</v>
      </c>
      <c r="F27" s="43">
        <f t="shared" si="3"/>
        <v>-0.11572916666665223</v>
      </c>
      <c r="H27" s="44">
        <v>6.6000000000000014</v>
      </c>
      <c r="I27" s="43">
        <v>5.4</v>
      </c>
      <c r="J27" s="44">
        <v>6.6000000000000014</v>
      </c>
      <c r="K27" s="43">
        <f t="shared" si="4"/>
        <v>6.4</v>
      </c>
      <c r="L27" s="43">
        <f t="shared" si="5"/>
        <v>-0.20000000000000107</v>
      </c>
      <c r="M27" s="43">
        <v>5.4</v>
      </c>
    </row>
    <row r="28" spans="1:15">
      <c r="A28" s="41">
        <v>43458</v>
      </c>
      <c r="B28" s="43">
        <v>439.5</v>
      </c>
      <c r="C28" s="43">
        <f t="shared" si="2"/>
        <v>1.7788749999999951</v>
      </c>
      <c r="D28" s="43">
        <f t="shared" si="0"/>
        <v>1.7453333333333332</v>
      </c>
      <c r="E28" s="43">
        <f t="shared" si="1"/>
        <v>1.7453333333333332</v>
      </c>
      <c r="F28" s="43">
        <f t="shared" si="3"/>
        <v>3.3541666666661918E-2</v>
      </c>
      <c r="H28" s="44">
        <v>2.3000000000000007</v>
      </c>
      <c r="I28" s="43">
        <v>1.2</v>
      </c>
      <c r="J28" s="44">
        <v>2.3000000000000007</v>
      </c>
      <c r="K28" s="43">
        <f t="shared" si="4"/>
        <v>2.2000000000000002</v>
      </c>
      <c r="L28" s="43">
        <f t="shared" si="5"/>
        <v>-0.10000000000000053</v>
      </c>
      <c r="M28" s="43">
        <v>1.2</v>
      </c>
    </row>
    <row r="29" spans="1:15">
      <c r="A29" s="41">
        <v>43459</v>
      </c>
      <c r="B29" s="43">
        <v>442</v>
      </c>
      <c r="C29" s="43">
        <f t="shared" si="2"/>
        <v>1.0588541666666667</v>
      </c>
      <c r="D29" s="43">
        <f t="shared" si="0"/>
        <v>1.6893333333333334</v>
      </c>
      <c r="E29" s="43">
        <f t="shared" si="1"/>
        <v>1.6893333333333334</v>
      </c>
      <c r="F29" s="43">
        <f t="shared" si="3"/>
        <v>-0.6304791666666667</v>
      </c>
      <c r="H29" s="44">
        <v>2.8999999999999986</v>
      </c>
      <c r="I29" s="43">
        <v>1.2</v>
      </c>
      <c r="J29" s="44">
        <v>2.8999999999999986</v>
      </c>
      <c r="K29" s="43">
        <f t="shared" si="4"/>
        <v>2.2000000000000002</v>
      </c>
      <c r="L29" s="43">
        <f t="shared" si="5"/>
        <v>-0.6999999999999984</v>
      </c>
      <c r="M29" s="43">
        <v>1.2</v>
      </c>
    </row>
    <row r="30" spans="1:15">
      <c r="A30" s="41">
        <v>43460</v>
      </c>
      <c r="B30" s="43">
        <v>446</v>
      </c>
      <c r="C30" s="43">
        <f t="shared" si="2"/>
        <v>1.6941666666666664</v>
      </c>
      <c r="D30" s="43">
        <f t="shared" si="0"/>
        <v>1.3529999999999998</v>
      </c>
      <c r="E30" s="43">
        <f t="shared" si="1"/>
        <v>1.6613333333333331</v>
      </c>
      <c r="F30" s="43">
        <f t="shared" si="3"/>
        <v>3.283333333333327E-2</v>
      </c>
      <c r="G30" s="43">
        <v>185</v>
      </c>
      <c r="H30" s="44">
        <v>3.1999999999999993</v>
      </c>
      <c r="I30" s="43">
        <v>2.5</v>
      </c>
      <c r="J30" s="44">
        <v>3.1999999999999993</v>
      </c>
      <c r="K30" s="43">
        <f t="shared" si="4"/>
        <v>1.9583333333333333</v>
      </c>
      <c r="L30" s="43">
        <f t="shared" si="5"/>
        <v>-1.241666666666666</v>
      </c>
      <c r="M30" s="43">
        <v>2.5</v>
      </c>
    </row>
    <row r="31" spans="1:15">
      <c r="A31" s="41">
        <v>43461</v>
      </c>
      <c r="B31" s="43">
        <v>449.6</v>
      </c>
      <c r="C31" s="43">
        <f t="shared" si="2"/>
        <v>1.5247500000000094</v>
      </c>
      <c r="D31" s="43">
        <f t="shared" si="0"/>
        <v>1.5119999999999998</v>
      </c>
      <c r="E31" s="43">
        <f t="shared" si="1"/>
        <v>1.5119999999999998</v>
      </c>
      <c r="F31" s="43">
        <f t="shared" si="3"/>
        <v>1.2750000000009587E-2</v>
      </c>
      <c r="H31" s="44">
        <v>4.8000000000000007</v>
      </c>
      <c r="I31" s="43">
        <v>3.7</v>
      </c>
      <c r="J31" s="44">
        <v>4.8000000000000007</v>
      </c>
      <c r="K31" s="43">
        <f t="shared" si="4"/>
        <v>4.7</v>
      </c>
      <c r="L31" s="43">
        <f t="shared" si="5"/>
        <v>-0.10000000000000053</v>
      </c>
      <c r="M31" s="43">
        <v>3.7</v>
      </c>
    </row>
    <row r="32" spans="1:15">
      <c r="A32" s="41">
        <v>43462</v>
      </c>
      <c r="B32" s="43">
        <v>452.9</v>
      </c>
      <c r="C32" s="43">
        <f t="shared" si="2"/>
        <v>1.3976874999999807</v>
      </c>
      <c r="D32" s="43">
        <f t="shared" si="0"/>
        <v>1.5493333333333335</v>
      </c>
      <c r="E32" s="43">
        <f t="shared" si="1"/>
        <v>1.5493333333333335</v>
      </c>
      <c r="F32" s="43">
        <f t="shared" si="3"/>
        <v>-0.1516458333333528</v>
      </c>
      <c r="H32" s="44">
        <v>4.3999999999999986</v>
      </c>
      <c r="I32" s="43">
        <v>4.2</v>
      </c>
      <c r="J32" s="44">
        <v>4.3999999999999986</v>
      </c>
      <c r="K32" s="43">
        <f t="shared" si="4"/>
        <v>5.2</v>
      </c>
      <c r="L32" s="43">
        <f t="shared" si="5"/>
        <v>0.8000000000000016</v>
      </c>
      <c r="M32" s="43">
        <v>4.2</v>
      </c>
      <c r="O32" s="43" t="s">
        <v>192</v>
      </c>
    </row>
    <row r="33" spans="1:13">
      <c r="A33" s="41">
        <v>43463</v>
      </c>
      <c r="B33" s="43">
        <v>456.3</v>
      </c>
      <c r="C33" s="43">
        <f t="shared" si="2"/>
        <v>1.4400416666666809</v>
      </c>
      <c r="D33" s="43">
        <f t="shared" si="0"/>
        <v>1.6053333333333333</v>
      </c>
      <c r="E33" s="43">
        <f t="shared" si="1"/>
        <v>1.6053333333333333</v>
      </c>
      <c r="F33" s="43">
        <f t="shared" si="3"/>
        <v>-0.1652916666666524</v>
      </c>
      <c r="H33" s="44">
        <v>3.8000000000000007</v>
      </c>
      <c r="I33" s="43">
        <v>3.7</v>
      </c>
      <c r="J33" s="44">
        <v>3.8000000000000007</v>
      </c>
      <c r="K33" s="43">
        <f t="shared" si="4"/>
        <v>4.7</v>
      </c>
      <c r="L33" s="43">
        <f t="shared" si="5"/>
        <v>0.89999999999999947</v>
      </c>
      <c r="M33" s="43">
        <v>3.7</v>
      </c>
    </row>
    <row r="34" spans="1:13">
      <c r="A34" s="41">
        <v>43464</v>
      </c>
      <c r="B34" s="43">
        <v>460</v>
      </c>
      <c r="C34" s="43">
        <f t="shared" si="2"/>
        <v>1.5671041666666616</v>
      </c>
      <c r="D34" s="43">
        <f t="shared" si="0"/>
        <v>1.4136666666666664</v>
      </c>
      <c r="E34" s="43">
        <f t="shared" si="1"/>
        <v>1.5119999999999998</v>
      </c>
      <c r="F34" s="43">
        <f t="shared" si="3"/>
        <v>5.5104166666661847E-2</v>
      </c>
      <c r="G34" s="43">
        <v>59</v>
      </c>
      <c r="H34" s="44">
        <v>4.8000000000000007</v>
      </c>
      <c r="I34" s="43">
        <v>3.3</v>
      </c>
      <c r="J34" s="44">
        <v>4.8000000000000007</v>
      </c>
      <c r="K34" s="43">
        <f t="shared" si="4"/>
        <v>3.8083333333333331</v>
      </c>
      <c r="L34" s="43">
        <f t="shared" si="5"/>
        <v>-0.99166666666666758</v>
      </c>
      <c r="M34" s="43">
        <v>3.3</v>
      </c>
    </row>
    <row r="35" spans="1:13">
      <c r="A35" s="41">
        <v>43465</v>
      </c>
      <c r="B35" s="43">
        <v>463.2</v>
      </c>
      <c r="C35" s="43">
        <f t="shared" si="2"/>
        <v>1.3553333333333284</v>
      </c>
      <c r="D35" s="43">
        <f t="shared" si="0"/>
        <v>1.5306666666666664</v>
      </c>
      <c r="E35" s="43">
        <f t="shared" si="1"/>
        <v>1.5306666666666664</v>
      </c>
      <c r="F35" s="43">
        <f t="shared" si="3"/>
        <v>-0.175333333333338</v>
      </c>
      <c r="H35" s="44">
        <v>4.6000000000000014</v>
      </c>
      <c r="I35" s="43">
        <v>1.3</v>
      </c>
      <c r="J35" s="44">
        <v>4.6000000000000014</v>
      </c>
      <c r="K35" s="43">
        <f t="shared" si="4"/>
        <v>2.2999999999999998</v>
      </c>
      <c r="L35" s="43">
        <f t="shared" si="5"/>
        <v>-2.3000000000000016</v>
      </c>
      <c r="M35" s="43">
        <v>1.3</v>
      </c>
    </row>
    <row r="36" spans="1:13">
      <c r="A36" s="41">
        <v>43466</v>
      </c>
      <c r="B36" s="43">
        <v>467.5</v>
      </c>
      <c r="C36" s="43">
        <f t="shared" si="2"/>
        <v>1.8212291666666713</v>
      </c>
      <c r="D36" s="43">
        <f t="shared" si="0"/>
        <v>1.3016666666666665</v>
      </c>
      <c r="E36" s="43">
        <f t="shared" si="1"/>
        <v>1.4</v>
      </c>
      <c r="F36" s="43">
        <f t="shared" si="3"/>
        <v>0.42122916666667143</v>
      </c>
      <c r="G36" s="43">
        <v>59</v>
      </c>
      <c r="H36" s="44">
        <v>6</v>
      </c>
      <c r="I36" s="43">
        <v>2.9</v>
      </c>
      <c r="J36" s="44">
        <v>6</v>
      </c>
      <c r="K36" s="43">
        <f t="shared" si="4"/>
        <v>3.4083333333333332</v>
      </c>
      <c r="L36" s="43">
        <f t="shared" si="5"/>
        <v>-2.5916666666666668</v>
      </c>
      <c r="M36" s="43">
        <v>2.9</v>
      </c>
    </row>
    <row r="37" spans="1:13">
      <c r="A37" s="41">
        <v>43467</v>
      </c>
      <c r="B37" s="43">
        <v>471.8</v>
      </c>
      <c r="C37" s="43">
        <f t="shared" si="2"/>
        <v>1.8212291666666713</v>
      </c>
      <c r="D37" s="43">
        <f t="shared" si="0"/>
        <v>1.8156666666666663</v>
      </c>
      <c r="E37" s="43">
        <f t="shared" si="1"/>
        <v>1.9039999999999997</v>
      </c>
      <c r="F37" s="43">
        <f t="shared" si="3"/>
        <v>-8.2770833333328353E-2</v>
      </c>
      <c r="G37" s="43">
        <v>53</v>
      </c>
      <c r="H37" s="44">
        <v>0.60000000000000142</v>
      </c>
      <c r="I37" s="43">
        <v>0.1</v>
      </c>
      <c r="J37" s="44">
        <v>0.60000000000000142</v>
      </c>
      <c r="K37" s="43">
        <f t="shared" si="4"/>
        <v>0.65833333333333344</v>
      </c>
      <c r="L37" s="43">
        <f t="shared" si="5"/>
        <v>5.8333333333332016E-2</v>
      </c>
      <c r="M37" s="43">
        <v>0.1</v>
      </c>
    </row>
    <row r="38" spans="1:13">
      <c r="A38" s="41">
        <v>43468</v>
      </c>
      <c r="B38" s="43">
        <v>476.6</v>
      </c>
      <c r="C38" s="43">
        <f t="shared" si="2"/>
        <v>2.0330000000000048</v>
      </c>
      <c r="D38" s="43">
        <f t="shared" si="0"/>
        <v>2.0553333333333339</v>
      </c>
      <c r="E38" s="43">
        <f t="shared" si="1"/>
        <v>2.1653333333333338</v>
      </c>
      <c r="F38" s="43">
        <f t="shared" si="3"/>
        <v>-0.13233333333332897</v>
      </c>
      <c r="G38" s="43">
        <v>66</v>
      </c>
      <c r="H38" s="44">
        <v>-2.2000000000000028</v>
      </c>
      <c r="I38" s="43">
        <v>-2.2000000000000002</v>
      </c>
      <c r="J38" s="44">
        <v>-2.2000000000000028</v>
      </c>
      <c r="K38" s="43">
        <f t="shared" si="4"/>
        <v>-1.7500000000000002</v>
      </c>
      <c r="L38" s="43">
        <f t="shared" si="5"/>
        <v>0.45000000000000262</v>
      </c>
      <c r="M38" s="43">
        <v>-2.2000000000000002</v>
      </c>
    </row>
    <row r="39" spans="1:13">
      <c r="A39" s="41">
        <v>43469</v>
      </c>
      <c r="B39" s="43">
        <v>482.1</v>
      </c>
      <c r="C39" s="43">
        <f t="shared" si="2"/>
        <v>2.3294791666666663</v>
      </c>
      <c r="D39" s="43">
        <f t="shared" si="0"/>
        <v>2.0606666666666666</v>
      </c>
      <c r="E39" s="43">
        <f t="shared" si="1"/>
        <v>2.0906666666666665</v>
      </c>
      <c r="F39" s="43">
        <f t="shared" si="3"/>
        <v>0.23881249999999987</v>
      </c>
      <c r="G39" s="43">
        <v>18</v>
      </c>
      <c r="H39" s="44">
        <v>-1.3999999999999986</v>
      </c>
      <c r="I39" s="43">
        <v>-1.9</v>
      </c>
      <c r="J39" s="44">
        <v>-1.3999999999999986</v>
      </c>
      <c r="K39" s="43">
        <f t="shared" si="4"/>
        <v>-1.0499999999999998</v>
      </c>
      <c r="L39" s="43">
        <f t="shared" si="5"/>
        <v>0.34999999999999876</v>
      </c>
      <c r="M39" s="43">
        <v>-1.9</v>
      </c>
    </row>
    <row r="40" spans="1:13">
      <c r="A40" s="41">
        <v>43470</v>
      </c>
      <c r="B40" s="43">
        <v>486.8</v>
      </c>
      <c r="C40" s="43">
        <f t="shared" si="2"/>
        <v>1.9906458333333283</v>
      </c>
      <c r="D40" s="43">
        <f t="shared" ref="D40:D71" si="6">(D$2-H40)*D$1/30-D$3*G40/60/24</f>
        <v>1.5586666666666666</v>
      </c>
      <c r="E40" s="43">
        <f t="shared" ref="E40:E71" si="7">(D$2-H40)*D$1/30</f>
        <v>1.5586666666666666</v>
      </c>
      <c r="F40" s="43">
        <f t="shared" si="3"/>
        <v>0.4319791666666617</v>
      </c>
      <c r="H40" s="44">
        <v>4.3000000000000007</v>
      </c>
      <c r="I40" s="43">
        <v>0.7</v>
      </c>
      <c r="J40" s="44">
        <v>4.3000000000000007</v>
      </c>
      <c r="K40" s="43">
        <f t="shared" si="4"/>
        <v>1.7</v>
      </c>
      <c r="L40" s="43">
        <f t="shared" si="5"/>
        <v>-2.6000000000000005</v>
      </c>
      <c r="M40" s="43">
        <v>0.7</v>
      </c>
    </row>
    <row r="41" spans="1:13">
      <c r="A41" s="41">
        <v>43471</v>
      </c>
      <c r="B41" s="43">
        <v>490.9</v>
      </c>
      <c r="C41" s="43">
        <f t="shared" ref="C41:C72" si="8">(B41-B40)/(A41-A40)*10.7/24*C$6</f>
        <v>1.7365208333333189</v>
      </c>
      <c r="D41" s="43">
        <f t="shared" si="6"/>
        <v>1.8226666666666669</v>
      </c>
      <c r="E41" s="43">
        <f t="shared" si="7"/>
        <v>1.8760000000000001</v>
      </c>
      <c r="F41" s="43">
        <f t="shared" ref="F41:F72" si="9">C41-E41</f>
        <v>-0.13947916666668125</v>
      </c>
      <c r="G41" s="43">
        <v>32</v>
      </c>
      <c r="H41" s="44">
        <v>0.89999999999999858</v>
      </c>
      <c r="I41" s="43">
        <v>-3.2</v>
      </c>
      <c r="J41" s="44">
        <v>0.89999999999999858</v>
      </c>
      <c r="K41" s="43">
        <f t="shared" ref="K41:K72" si="10">M41+K$6+G41*K$5/60</f>
        <v>-2.4666666666666668</v>
      </c>
      <c r="L41" s="43">
        <f t="shared" ref="L41:L72" si="11">K41-J41</f>
        <v>-3.3666666666666654</v>
      </c>
      <c r="M41" s="43">
        <v>-3.2</v>
      </c>
    </row>
    <row r="42" spans="1:13">
      <c r="A42" s="41">
        <v>43472</v>
      </c>
      <c r="B42" s="43">
        <v>494.3</v>
      </c>
      <c r="C42" s="43">
        <f t="shared" si="8"/>
        <v>1.4400416666666809</v>
      </c>
      <c r="D42" s="43">
        <f t="shared" si="6"/>
        <v>1.2816666666666667</v>
      </c>
      <c r="E42" s="43">
        <f t="shared" si="7"/>
        <v>1.8666666666666667</v>
      </c>
      <c r="F42" s="43">
        <f t="shared" si="9"/>
        <v>-0.42662499999998582</v>
      </c>
      <c r="G42" s="43">
        <v>351</v>
      </c>
      <c r="H42" s="44">
        <v>1</v>
      </c>
      <c r="I42" s="43">
        <v>-5.6</v>
      </c>
      <c r="J42" s="44">
        <v>1</v>
      </c>
      <c r="K42" s="43">
        <f t="shared" si="10"/>
        <v>-7.5249999999999995</v>
      </c>
      <c r="L42" s="43">
        <f t="shared" si="11"/>
        <v>-8.5249999999999986</v>
      </c>
      <c r="M42" s="43">
        <v>-5.6</v>
      </c>
    </row>
    <row r="43" spans="1:13">
      <c r="A43" s="41">
        <v>43473</v>
      </c>
      <c r="B43" s="43">
        <v>499.7</v>
      </c>
      <c r="C43" s="43">
        <f t="shared" si="8"/>
        <v>2.2871249999999899</v>
      </c>
      <c r="D43" s="43">
        <f t="shared" si="6"/>
        <v>1.6239999999999997</v>
      </c>
      <c r="E43" s="43">
        <f t="shared" si="7"/>
        <v>1.6239999999999997</v>
      </c>
      <c r="F43" s="43">
        <f t="shared" si="9"/>
        <v>0.66312499999999019</v>
      </c>
      <c r="H43" s="44">
        <v>3.6000000000000014</v>
      </c>
      <c r="I43" s="43">
        <v>-1</v>
      </c>
      <c r="J43" s="44">
        <v>3.6000000000000014</v>
      </c>
      <c r="K43" s="43">
        <f t="shared" si="10"/>
        <v>0</v>
      </c>
      <c r="L43" s="43">
        <f t="shared" si="11"/>
        <v>-3.6000000000000014</v>
      </c>
      <c r="M43" s="43">
        <v>-1</v>
      </c>
    </row>
    <row r="44" spans="1:13">
      <c r="A44" s="41">
        <v>43474</v>
      </c>
      <c r="B44" s="43">
        <v>502.7</v>
      </c>
      <c r="C44" s="43">
        <f t="shared" si="8"/>
        <v>1.2706249999999997</v>
      </c>
      <c r="D44" s="43">
        <f t="shared" si="6"/>
        <v>1.577333333333333</v>
      </c>
      <c r="E44" s="43">
        <f t="shared" si="7"/>
        <v>1.8573333333333331</v>
      </c>
      <c r="F44" s="43">
        <f t="shared" si="9"/>
        <v>-0.58670833333333339</v>
      </c>
      <c r="G44" s="43">
        <v>168</v>
      </c>
      <c r="H44" s="44">
        <v>1.1000000000000014</v>
      </c>
      <c r="I44" s="43">
        <v>0</v>
      </c>
      <c r="J44" s="44">
        <v>1.1000000000000014</v>
      </c>
      <c r="K44" s="43">
        <f t="shared" si="10"/>
        <v>-0.39999999999999991</v>
      </c>
      <c r="L44" s="43">
        <f t="shared" si="11"/>
        <v>-1.5000000000000013</v>
      </c>
      <c r="M44" s="43">
        <v>0</v>
      </c>
    </row>
    <row r="45" spans="1:13">
      <c r="A45" s="41">
        <v>43475</v>
      </c>
      <c r="B45" s="43">
        <v>507.6</v>
      </c>
      <c r="C45" s="43">
        <f t="shared" si="8"/>
        <v>2.0753541666666808</v>
      </c>
      <c r="D45" s="43">
        <f t="shared" si="6"/>
        <v>1.9413333333333331</v>
      </c>
      <c r="E45" s="43">
        <f t="shared" si="7"/>
        <v>1.9413333333333331</v>
      </c>
      <c r="F45" s="43">
        <f t="shared" si="9"/>
        <v>0.13402083333334769</v>
      </c>
      <c r="H45" s="44">
        <v>0.19999999999999929</v>
      </c>
      <c r="I45" s="43">
        <v>-0.8</v>
      </c>
      <c r="J45" s="44">
        <v>0.19999999999999929</v>
      </c>
      <c r="K45" s="43">
        <f t="shared" si="10"/>
        <v>0.19999999999999996</v>
      </c>
      <c r="L45" s="43">
        <f t="shared" si="11"/>
        <v>6.6613381477509392E-16</v>
      </c>
      <c r="M45" s="43">
        <v>-0.8</v>
      </c>
    </row>
    <row r="46" spans="1:13">
      <c r="A46" s="41">
        <v>43476</v>
      </c>
      <c r="B46" s="43">
        <v>512.6</v>
      </c>
      <c r="C46" s="43">
        <f t="shared" si="8"/>
        <v>2.1177083333333333</v>
      </c>
      <c r="D46" s="43">
        <f t="shared" si="6"/>
        <v>2.1066666666666665</v>
      </c>
      <c r="E46" s="43">
        <f t="shared" si="7"/>
        <v>2.1933333333333334</v>
      </c>
      <c r="F46" s="43">
        <f t="shared" si="9"/>
        <v>-7.5625000000000053E-2</v>
      </c>
      <c r="G46" s="43">
        <v>52</v>
      </c>
      <c r="H46" s="44">
        <v>-2.5</v>
      </c>
      <c r="I46" s="43">
        <v>-2.4</v>
      </c>
      <c r="J46" s="44">
        <v>-2.5</v>
      </c>
      <c r="K46" s="43">
        <f t="shared" si="10"/>
        <v>-1.8333333333333333</v>
      </c>
      <c r="L46" s="43">
        <f t="shared" si="11"/>
        <v>0.66666666666666674</v>
      </c>
      <c r="M46" s="43">
        <v>-2.4</v>
      </c>
    </row>
    <row r="47" spans="1:13">
      <c r="A47" s="41">
        <v>43477</v>
      </c>
      <c r="B47" s="43">
        <v>517.9</v>
      </c>
      <c r="C47" s="43">
        <f t="shared" si="8"/>
        <v>2.2447708333333138</v>
      </c>
      <c r="D47" s="43">
        <f t="shared" si="6"/>
        <v>1.7266666666666666</v>
      </c>
      <c r="E47" s="43">
        <f t="shared" si="7"/>
        <v>1.7266666666666666</v>
      </c>
      <c r="F47" s="43">
        <f t="shared" si="9"/>
        <v>0.51810416666664727</v>
      </c>
      <c r="H47" s="44">
        <v>2.5</v>
      </c>
      <c r="I47" s="43">
        <v>0.7</v>
      </c>
      <c r="J47" s="44">
        <v>2.5</v>
      </c>
      <c r="K47" s="43">
        <f t="shared" si="10"/>
        <v>1.7</v>
      </c>
      <c r="L47" s="43">
        <f t="shared" si="11"/>
        <v>-0.8</v>
      </c>
      <c r="M47" s="43">
        <v>0.7</v>
      </c>
    </row>
    <row r="48" spans="1:13">
      <c r="A48" s="41">
        <v>43478</v>
      </c>
      <c r="B48" s="43">
        <v>521.4</v>
      </c>
      <c r="C48" s="43">
        <f t="shared" si="8"/>
        <v>1.4823958333333331</v>
      </c>
      <c r="D48" s="43">
        <f t="shared" si="6"/>
        <v>1.427</v>
      </c>
      <c r="E48" s="43">
        <f t="shared" si="7"/>
        <v>1.5586666666666666</v>
      </c>
      <c r="F48" s="43">
        <f t="shared" si="9"/>
        <v>-7.627083333333351E-2</v>
      </c>
      <c r="G48" s="43">
        <v>79</v>
      </c>
      <c r="H48" s="44">
        <v>4.3000000000000007</v>
      </c>
      <c r="I48" s="43">
        <v>2.7</v>
      </c>
      <c r="J48" s="44">
        <v>4.3000000000000007</v>
      </c>
      <c r="K48" s="43">
        <f t="shared" si="10"/>
        <v>3.041666666666667</v>
      </c>
      <c r="L48" s="43">
        <f t="shared" si="11"/>
        <v>-1.2583333333333337</v>
      </c>
      <c r="M48" s="43">
        <v>2.7</v>
      </c>
    </row>
    <row r="49" spans="1:13">
      <c r="A49" s="41">
        <v>43479</v>
      </c>
      <c r="B49" s="43">
        <v>525</v>
      </c>
      <c r="C49" s="43">
        <f t="shared" si="8"/>
        <v>1.5247500000000094</v>
      </c>
      <c r="D49" s="43">
        <f t="shared" si="6"/>
        <v>1.3146666666666667</v>
      </c>
      <c r="E49" s="43">
        <f t="shared" si="7"/>
        <v>1.7546666666666666</v>
      </c>
      <c r="F49" s="43">
        <f t="shared" si="9"/>
        <v>-0.22991666666665722</v>
      </c>
      <c r="G49" s="43">
        <v>264</v>
      </c>
      <c r="H49" s="44">
        <v>2.1999999999999993</v>
      </c>
      <c r="I49" s="43">
        <v>0.6</v>
      </c>
      <c r="J49" s="44">
        <v>2.1999999999999993</v>
      </c>
      <c r="K49" s="43">
        <f t="shared" si="10"/>
        <v>-0.60000000000000009</v>
      </c>
      <c r="L49" s="43">
        <f t="shared" si="11"/>
        <v>-2.7999999999999994</v>
      </c>
      <c r="M49" s="43">
        <v>0.6</v>
      </c>
    </row>
    <row r="50" spans="1:13">
      <c r="A50" s="41">
        <v>43480</v>
      </c>
      <c r="B50" s="43">
        <v>529.29999999999995</v>
      </c>
      <c r="C50" s="43">
        <f t="shared" si="8"/>
        <v>1.8212291666666471</v>
      </c>
      <c r="D50" s="43">
        <f t="shared" si="6"/>
        <v>1.7546666666666666</v>
      </c>
      <c r="E50" s="43">
        <f t="shared" si="7"/>
        <v>1.7546666666666666</v>
      </c>
      <c r="F50" s="43">
        <f t="shared" si="9"/>
        <v>6.656249999998054E-2</v>
      </c>
      <c r="H50" s="44">
        <v>2.1999999999999993</v>
      </c>
      <c r="I50" s="43">
        <v>0.3</v>
      </c>
      <c r="J50" s="44">
        <v>2.1999999999999993</v>
      </c>
      <c r="K50" s="43">
        <f t="shared" si="10"/>
        <v>1.3</v>
      </c>
      <c r="L50" s="43">
        <f t="shared" si="11"/>
        <v>-0.89999999999999925</v>
      </c>
      <c r="M50" s="43">
        <v>0.3</v>
      </c>
    </row>
    <row r="51" spans="1:13">
      <c r="A51" s="41">
        <v>43481</v>
      </c>
      <c r="B51" s="43">
        <v>533.9</v>
      </c>
      <c r="C51" s="43">
        <f t="shared" si="8"/>
        <v>1.9482916666666763</v>
      </c>
      <c r="D51" s="43">
        <f t="shared" si="6"/>
        <v>1.5223333333333331</v>
      </c>
      <c r="E51" s="43">
        <f t="shared" si="7"/>
        <v>1.577333333333333</v>
      </c>
      <c r="F51" s="43">
        <f t="shared" si="9"/>
        <v>0.37095833333334327</v>
      </c>
      <c r="G51" s="43">
        <v>33</v>
      </c>
      <c r="H51" s="44">
        <v>4.1000000000000014</v>
      </c>
      <c r="I51" s="43">
        <v>4.0999999999999996</v>
      </c>
      <c r="J51" s="44">
        <v>4.1000000000000014</v>
      </c>
      <c r="K51" s="43">
        <f t="shared" si="10"/>
        <v>4.8249999999999993</v>
      </c>
      <c r="L51" s="43">
        <f t="shared" si="11"/>
        <v>0.72499999999999787</v>
      </c>
      <c r="M51" s="43">
        <v>4.0999999999999996</v>
      </c>
    </row>
    <row r="52" spans="1:13">
      <c r="A52" s="41">
        <v>43482</v>
      </c>
      <c r="B52" s="43">
        <v>536.5</v>
      </c>
      <c r="C52" s="43">
        <f t="shared" si="8"/>
        <v>1.1012083333333429</v>
      </c>
      <c r="D52" s="43">
        <f t="shared" si="6"/>
        <v>0.97266666666666657</v>
      </c>
      <c r="E52" s="43">
        <f t="shared" si="7"/>
        <v>1.456</v>
      </c>
      <c r="F52" s="43">
        <f t="shared" si="9"/>
        <v>-0.35479166666665707</v>
      </c>
      <c r="G52" s="43">
        <v>290</v>
      </c>
      <c r="H52" s="44">
        <v>5.3999999999999986</v>
      </c>
      <c r="I52" s="43">
        <v>4</v>
      </c>
      <c r="J52" s="44">
        <v>5.3999999999999986</v>
      </c>
      <c r="K52" s="43">
        <f t="shared" si="10"/>
        <v>2.5833333333333335</v>
      </c>
      <c r="L52" s="43">
        <f t="shared" si="11"/>
        <v>-2.8166666666666651</v>
      </c>
      <c r="M52" s="43">
        <v>4</v>
      </c>
    </row>
    <row r="53" spans="1:13">
      <c r="A53" s="41">
        <v>43483</v>
      </c>
      <c r="B53" s="43">
        <v>540.79999999999995</v>
      </c>
      <c r="C53" s="43">
        <f t="shared" si="8"/>
        <v>1.8212291666666471</v>
      </c>
      <c r="D53" s="43">
        <f t="shared" si="6"/>
        <v>1.912333333333333</v>
      </c>
      <c r="E53" s="43">
        <f t="shared" si="7"/>
        <v>2.0439999999999996</v>
      </c>
      <c r="F53" s="43">
        <f t="shared" si="9"/>
        <v>-0.22277083333335246</v>
      </c>
      <c r="G53" s="43">
        <v>79</v>
      </c>
      <c r="H53" s="44">
        <v>-0.89999999999999858</v>
      </c>
      <c r="I53" s="43">
        <v>1</v>
      </c>
      <c r="J53" s="44">
        <v>-0.89999999999999858</v>
      </c>
      <c r="K53" s="43">
        <f t="shared" si="10"/>
        <v>1.3416666666666668</v>
      </c>
      <c r="L53" s="43">
        <f t="shared" si="11"/>
        <v>2.2416666666666654</v>
      </c>
      <c r="M53" s="43">
        <v>1</v>
      </c>
    </row>
    <row r="54" spans="1:13">
      <c r="A54" s="41">
        <v>43484</v>
      </c>
      <c r="B54" s="43">
        <v>545.29999999999995</v>
      </c>
      <c r="C54" s="43">
        <f t="shared" si="8"/>
        <v>1.9059375000000001</v>
      </c>
      <c r="D54" s="43">
        <f t="shared" si="6"/>
        <v>1.7153333333333336</v>
      </c>
      <c r="E54" s="43">
        <f t="shared" si="7"/>
        <v>2.3986666666666667</v>
      </c>
      <c r="F54" s="43">
        <f t="shared" si="9"/>
        <v>-0.49272916666666666</v>
      </c>
      <c r="G54" s="43">
        <v>410</v>
      </c>
      <c r="H54" s="44">
        <v>-4.7000000000000028</v>
      </c>
      <c r="I54" s="43">
        <v>-1.7</v>
      </c>
      <c r="J54" s="44">
        <v>-4.7000000000000028</v>
      </c>
      <c r="K54" s="43">
        <f t="shared" si="10"/>
        <v>-4.1166666666666663</v>
      </c>
      <c r="L54" s="43">
        <f t="shared" si="11"/>
        <v>0.58333333333333659</v>
      </c>
      <c r="M54" s="43">
        <v>-1.7</v>
      </c>
    </row>
    <row r="55" spans="1:13">
      <c r="A55" s="41">
        <v>43485</v>
      </c>
      <c r="B55" s="43">
        <v>549.79999999999995</v>
      </c>
      <c r="C55" s="43">
        <f t="shared" si="8"/>
        <v>1.9059375000000001</v>
      </c>
      <c r="D55" s="43">
        <f t="shared" si="6"/>
        <v>1.9470000000000003</v>
      </c>
      <c r="E55" s="43">
        <f t="shared" si="7"/>
        <v>2.258666666666667</v>
      </c>
      <c r="F55" s="43">
        <f t="shared" si="9"/>
        <v>-0.35272916666666698</v>
      </c>
      <c r="G55" s="43">
        <v>187</v>
      </c>
      <c r="H55" s="44">
        <v>-3.2000000000000028</v>
      </c>
      <c r="I55" s="43">
        <v>-1.3</v>
      </c>
      <c r="J55" s="44">
        <v>-3.2000000000000028</v>
      </c>
      <c r="K55" s="43">
        <f t="shared" si="10"/>
        <v>-1.8583333333333334</v>
      </c>
      <c r="L55" s="43">
        <f t="shared" si="11"/>
        <v>1.3416666666666694</v>
      </c>
      <c r="M55" s="43">
        <v>-1.3</v>
      </c>
    </row>
    <row r="56" spans="1:13">
      <c r="A56" s="41">
        <v>43486</v>
      </c>
      <c r="B56" s="43">
        <v>552.6</v>
      </c>
      <c r="C56" s="43">
        <f t="shared" si="8"/>
        <v>1.1859166666666954</v>
      </c>
      <c r="D56" s="43">
        <f t="shared" si="6"/>
        <v>1.8519999999999999</v>
      </c>
      <c r="E56" s="43">
        <f t="shared" si="7"/>
        <v>2.4453333333333331</v>
      </c>
      <c r="F56" s="43">
        <f t="shared" si="9"/>
        <v>-1.2594166666666378</v>
      </c>
      <c r="G56" s="43">
        <v>356</v>
      </c>
      <c r="H56" s="44">
        <v>-5.2000000000000028</v>
      </c>
      <c r="I56" s="43">
        <v>-1.9</v>
      </c>
      <c r="J56" s="44">
        <v>-5.2000000000000028</v>
      </c>
      <c r="K56" s="43">
        <f t="shared" si="10"/>
        <v>-3.8666666666666667</v>
      </c>
      <c r="L56" s="43">
        <f t="shared" si="11"/>
        <v>1.3333333333333361</v>
      </c>
      <c r="M56" s="43">
        <v>-1.9</v>
      </c>
    </row>
    <row r="57" spans="1:13">
      <c r="A57" s="41">
        <v>43487</v>
      </c>
      <c r="B57" s="43">
        <v>557.4</v>
      </c>
      <c r="C57" s="43">
        <f t="shared" si="8"/>
        <v>2.0329999999999808</v>
      </c>
      <c r="D57" s="43">
        <f t="shared" si="6"/>
        <v>1.8726666666666669</v>
      </c>
      <c r="E57" s="43">
        <f t="shared" si="7"/>
        <v>2.4826666666666668</v>
      </c>
      <c r="F57" s="43">
        <f t="shared" si="9"/>
        <v>-0.44966666666668598</v>
      </c>
      <c r="G57" s="43">
        <v>366</v>
      </c>
      <c r="H57" s="44">
        <v>-5.6000000000000014</v>
      </c>
      <c r="I57" s="43">
        <v>-2.2000000000000002</v>
      </c>
      <c r="J57" s="44">
        <v>-5.6000000000000014</v>
      </c>
      <c r="K57" s="43">
        <f t="shared" si="10"/>
        <v>-4.25</v>
      </c>
      <c r="L57" s="43">
        <f t="shared" si="11"/>
        <v>1.3500000000000014</v>
      </c>
      <c r="M57" s="43">
        <v>-2.2000000000000002</v>
      </c>
    </row>
    <row r="58" spans="1:13">
      <c r="A58" s="41">
        <v>43488</v>
      </c>
      <c r="B58" s="43">
        <v>563</v>
      </c>
      <c r="C58" s="43">
        <f t="shared" si="8"/>
        <v>2.3718333333333423</v>
      </c>
      <c r="D58" s="43">
        <f t="shared" si="6"/>
        <v>2.3539999999999996</v>
      </c>
      <c r="E58" s="43">
        <f t="shared" si="7"/>
        <v>2.5573333333333328</v>
      </c>
      <c r="F58" s="43">
        <f t="shared" si="9"/>
        <v>-0.18549999999999045</v>
      </c>
      <c r="G58" s="43">
        <v>122</v>
      </c>
      <c r="H58" s="44">
        <v>-6.3999999999999986</v>
      </c>
      <c r="I58" s="43">
        <v>-3.1</v>
      </c>
      <c r="J58" s="44">
        <v>-6.3999999999999986</v>
      </c>
      <c r="K58" s="43">
        <f t="shared" si="10"/>
        <v>-3.1166666666666667</v>
      </c>
      <c r="L58" s="43">
        <f t="shared" si="11"/>
        <v>3.2833333333333319</v>
      </c>
      <c r="M58" s="43">
        <v>-3.1</v>
      </c>
    </row>
    <row r="59" spans="1:13">
      <c r="A59" s="41">
        <v>43489</v>
      </c>
      <c r="B59" s="43">
        <v>568.6</v>
      </c>
      <c r="C59" s="43">
        <f t="shared" si="8"/>
        <v>2.3718333333333423</v>
      </c>
      <c r="D59" s="43">
        <f t="shared" si="6"/>
        <v>2.3706666666666663</v>
      </c>
      <c r="E59" s="43">
        <f t="shared" si="7"/>
        <v>2.3706666666666663</v>
      </c>
      <c r="F59" s="43">
        <f t="shared" si="9"/>
        <v>1.1666666666760861E-3</v>
      </c>
      <c r="H59" s="44">
        <v>-4.3999999999999986</v>
      </c>
      <c r="I59" s="43">
        <v>-3.4</v>
      </c>
      <c r="J59" s="44">
        <v>-4.3999999999999986</v>
      </c>
      <c r="K59" s="43">
        <f t="shared" si="10"/>
        <v>-2.4</v>
      </c>
      <c r="L59" s="43">
        <f t="shared" si="11"/>
        <v>1.9999999999999987</v>
      </c>
      <c r="M59" s="43">
        <v>-3.4</v>
      </c>
    </row>
    <row r="60" spans="1:13">
      <c r="A60" s="41">
        <v>43490</v>
      </c>
      <c r="B60" s="43">
        <v>575</v>
      </c>
      <c r="C60" s="43">
        <f t="shared" si="8"/>
        <v>2.7106666666666568</v>
      </c>
      <c r="D60" s="43">
        <f t="shared" si="6"/>
        <v>2.305333333333333</v>
      </c>
      <c r="E60" s="43">
        <f t="shared" si="7"/>
        <v>2.305333333333333</v>
      </c>
      <c r="F60" s="43">
        <f t="shared" si="9"/>
        <v>0.40533333333332378</v>
      </c>
      <c r="H60" s="44">
        <v>-3.7000000000000028</v>
      </c>
      <c r="I60" s="43">
        <v>-2.9</v>
      </c>
      <c r="J60" s="44">
        <v>-3.7000000000000028</v>
      </c>
      <c r="K60" s="43">
        <f t="shared" si="10"/>
        <v>-1.9</v>
      </c>
      <c r="L60" s="43">
        <f t="shared" si="11"/>
        <v>1.8000000000000029</v>
      </c>
      <c r="M60" s="43">
        <v>-2.9</v>
      </c>
    </row>
    <row r="61" spans="1:13">
      <c r="A61" s="41">
        <v>43491</v>
      </c>
      <c r="B61" s="43">
        <v>580.20000000000005</v>
      </c>
      <c r="C61" s="43">
        <f t="shared" si="8"/>
        <v>2.2024166666666858</v>
      </c>
      <c r="D61" s="43">
        <f t="shared" si="6"/>
        <v>1.9133333333333333</v>
      </c>
      <c r="E61" s="43">
        <f t="shared" si="7"/>
        <v>1.9133333333333333</v>
      </c>
      <c r="F61" s="43">
        <f t="shared" si="9"/>
        <v>0.28908333333335245</v>
      </c>
      <c r="H61" s="44">
        <v>0.5</v>
      </c>
      <c r="I61" s="43">
        <v>-1.1000000000000001</v>
      </c>
      <c r="J61" s="44">
        <v>0.5</v>
      </c>
      <c r="K61" s="43">
        <f t="shared" si="10"/>
        <v>-0.10000000000000009</v>
      </c>
      <c r="L61" s="43">
        <f t="shared" si="11"/>
        <v>-0.60000000000000009</v>
      </c>
      <c r="M61" s="43">
        <v>-1.1000000000000001</v>
      </c>
    </row>
    <row r="62" spans="1:13">
      <c r="A62" s="41">
        <v>43492</v>
      </c>
      <c r="B62" s="43">
        <v>583.4</v>
      </c>
      <c r="C62" s="43">
        <f t="shared" si="8"/>
        <v>1.3553333333333044</v>
      </c>
      <c r="D62" s="43">
        <f t="shared" si="6"/>
        <v>1.5269999999999999</v>
      </c>
      <c r="E62" s="43">
        <f t="shared" si="7"/>
        <v>1.6053333333333333</v>
      </c>
      <c r="F62" s="43">
        <f t="shared" si="9"/>
        <v>-0.25000000000002887</v>
      </c>
      <c r="G62" s="43">
        <v>47</v>
      </c>
      <c r="H62" s="44">
        <v>3.8000000000000007</v>
      </c>
      <c r="I62" s="43">
        <v>2.4</v>
      </c>
      <c r="J62" s="44">
        <v>3.8000000000000007</v>
      </c>
      <c r="K62" s="43">
        <f t="shared" si="10"/>
        <v>3.0083333333333333</v>
      </c>
      <c r="L62" s="43">
        <f t="shared" si="11"/>
        <v>-0.79166666666666741</v>
      </c>
      <c r="M62" s="43">
        <v>2.4</v>
      </c>
    </row>
    <row r="63" spans="1:13">
      <c r="A63" s="41">
        <v>43493</v>
      </c>
      <c r="B63" s="43">
        <v>589</v>
      </c>
      <c r="C63" s="43">
        <f t="shared" si="8"/>
        <v>2.3718333333333423</v>
      </c>
      <c r="D63" s="43">
        <f t="shared" si="6"/>
        <v>1.68</v>
      </c>
      <c r="E63" s="43">
        <f t="shared" si="7"/>
        <v>1.68</v>
      </c>
      <c r="F63" s="43">
        <f t="shared" si="9"/>
        <v>0.6918333333333424</v>
      </c>
      <c r="H63" s="44">
        <v>3</v>
      </c>
      <c r="I63" s="43">
        <v>1.6</v>
      </c>
      <c r="J63" s="44">
        <v>3</v>
      </c>
      <c r="K63" s="43">
        <f t="shared" si="10"/>
        <v>2.6</v>
      </c>
      <c r="L63" s="43">
        <f t="shared" si="11"/>
        <v>-0.39999999999999991</v>
      </c>
      <c r="M63" s="43">
        <v>1.6</v>
      </c>
    </row>
    <row r="64" spans="1:13">
      <c r="A64" s="41">
        <v>43494</v>
      </c>
      <c r="B64" s="43">
        <v>592.5</v>
      </c>
      <c r="C64" s="43">
        <f t="shared" si="8"/>
        <v>1.4823958333333331</v>
      </c>
      <c r="D64" s="43">
        <f t="shared" si="6"/>
        <v>1.8019999999999998</v>
      </c>
      <c r="E64" s="43">
        <f t="shared" si="7"/>
        <v>1.8386666666666664</v>
      </c>
      <c r="F64" s="43">
        <f t="shared" si="9"/>
        <v>-0.35627083333333331</v>
      </c>
      <c r="G64" s="43">
        <v>22</v>
      </c>
      <c r="H64" s="44">
        <v>1.3000000000000007</v>
      </c>
      <c r="I64" s="43">
        <v>0.2</v>
      </c>
      <c r="J64" s="44">
        <v>1.3000000000000007</v>
      </c>
      <c r="K64" s="43">
        <f t="shared" si="10"/>
        <v>1.0166666666666666</v>
      </c>
      <c r="L64" s="43">
        <f t="shared" si="11"/>
        <v>-0.2833333333333341</v>
      </c>
      <c r="M64" s="43">
        <v>0.2</v>
      </c>
    </row>
    <row r="65" spans="1:13">
      <c r="A65" s="45">
        <v>43495</v>
      </c>
      <c r="B65" s="43">
        <v>595.5</v>
      </c>
      <c r="C65" s="43">
        <f t="shared" si="8"/>
        <v>1.2706249999999997</v>
      </c>
      <c r="D65" s="43">
        <f t="shared" si="6"/>
        <v>1.2476666666666665</v>
      </c>
      <c r="E65" s="43">
        <f t="shared" si="7"/>
        <v>2.1093333333333333</v>
      </c>
      <c r="F65" s="43">
        <f t="shared" si="9"/>
        <v>-0.83870833333333361</v>
      </c>
      <c r="G65" s="43">
        <v>517</v>
      </c>
      <c r="H65" s="44">
        <v>-1.6000000000000014</v>
      </c>
      <c r="I65" s="43">
        <v>-1</v>
      </c>
      <c r="J65" s="44">
        <v>-1.6000000000000014</v>
      </c>
      <c r="K65" s="43">
        <f t="shared" si="10"/>
        <v>-4.3083333333333336</v>
      </c>
      <c r="L65" s="43">
        <f t="shared" si="11"/>
        <v>-2.7083333333333321</v>
      </c>
      <c r="M65" s="43">
        <v>-1</v>
      </c>
    </row>
    <row r="66" spans="1:13">
      <c r="A66" s="45">
        <v>43496</v>
      </c>
      <c r="B66" s="43">
        <v>598.79999999999995</v>
      </c>
      <c r="C66" s="43">
        <f t="shared" si="8"/>
        <v>1.3976874999999807</v>
      </c>
      <c r="D66" s="43">
        <f t="shared" si="6"/>
        <v>1.1936666666666667</v>
      </c>
      <c r="E66" s="43">
        <f t="shared" si="7"/>
        <v>1.9786666666666664</v>
      </c>
      <c r="F66" s="43">
        <f t="shared" si="9"/>
        <v>-0.5809791666666857</v>
      </c>
      <c r="G66" s="43">
        <v>471</v>
      </c>
      <c r="H66" s="44">
        <v>-0.19999999999999929</v>
      </c>
      <c r="I66" s="43">
        <v>-1.6</v>
      </c>
      <c r="J66" s="44">
        <v>-0.19999999999999929</v>
      </c>
      <c r="K66" s="43">
        <f t="shared" si="10"/>
        <v>-4.5250000000000004</v>
      </c>
      <c r="L66" s="43">
        <f t="shared" si="11"/>
        <v>-4.3250000000000011</v>
      </c>
      <c r="M66" s="43">
        <v>-1.6</v>
      </c>
    </row>
    <row r="67" spans="1:13">
      <c r="A67" s="45">
        <v>43497</v>
      </c>
      <c r="B67" s="43">
        <v>603.5</v>
      </c>
      <c r="C67" s="43">
        <f t="shared" si="8"/>
        <v>1.9906458333333525</v>
      </c>
      <c r="D67" s="43">
        <f t="shared" si="6"/>
        <v>1.5023333333333331</v>
      </c>
      <c r="E67" s="43">
        <f t="shared" si="7"/>
        <v>1.9039999999999997</v>
      </c>
      <c r="F67" s="43">
        <f t="shared" si="9"/>
        <v>8.6645833333352851E-2</v>
      </c>
      <c r="G67" s="43">
        <v>241</v>
      </c>
      <c r="H67" s="44">
        <v>0.60000000000000142</v>
      </c>
      <c r="I67" s="43">
        <v>2.8</v>
      </c>
      <c r="J67" s="44">
        <v>0.60000000000000142</v>
      </c>
      <c r="K67" s="43">
        <f t="shared" si="10"/>
        <v>1.7916666666666665</v>
      </c>
      <c r="L67" s="43">
        <f t="shared" si="11"/>
        <v>1.1916666666666651</v>
      </c>
      <c r="M67" s="43">
        <v>2.8</v>
      </c>
    </row>
    <row r="68" spans="1:13">
      <c r="A68" s="45">
        <v>43498</v>
      </c>
      <c r="B68" s="43">
        <v>607.70000000000005</v>
      </c>
      <c r="C68" s="43">
        <f t="shared" si="8"/>
        <v>1.7788750000000189</v>
      </c>
      <c r="D68" s="43">
        <f t="shared" si="6"/>
        <v>0.99399999999999988</v>
      </c>
      <c r="E68" s="43">
        <f t="shared" si="7"/>
        <v>1.7173333333333332</v>
      </c>
      <c r="F68" s="43">
        <f t="shared" si="9"/>
        <v>6.1541666666685702E-2</v>
      </c>
      <c r="G68" s="43">
        <v>434</v>
      </c>
      <c r="H68" s="44">
        <v>2.6000000000000014</v>
      </c>
      <c r="I68" s="43">
        <v>8.8000000000000007</v>
      </c>
      <c r="J68" s="44">
        <v>2.6000000000000014</v>
      </c>
      <c r="K68" s="43">
        <f t="shared" si="10"/>
        <v>6.1833333333333336</v>
      </c>
      <c r="L68" s="43">
        <f t="shared" si="11"/>
        <v>3.5833333333333321</v>
      </c>
      <c r="M68" s="43">
        <v>8.8000000000000007</v>
      </c>
    </row>
    <row r="69" spans="1:13">
      <c r="A69" s="41">
        <v>43499</v>
      </c>
      <c r="B69" s="43">
        <v>610</v>
      </c>
      <c r="C69" s="43">
        <f t="shared" si="8"/>
        <v>0.97414583333331406</v>
      </c>
      <c r="D69" s="43">
        <f t="shared" si="6"/>
        <v>1.9319999999999997</v>
      </c>
      <c r="E69" s="43">
        <f t="shared" si="7"/>
        <v>1.9319999999999997</v>
      </c>
      <c r="F69" s="43">
        <f t="shared" si="9"/>
        <v>-0.95785416666668566</v>
      </c>
      <c r="H69" s="44">
        <v>0.30000000000000071</v>
      </c>
      <c r="I69" s="43">
        <v>5.0999999999999996</v>
      </c>
      <c r="J69" s="44">
        <v>0.30000000000000071</v>
      </c>
      <c r="K69" s="43">
        <f t="shared" si="10"/>
        <v>6.1</v>
      </c>
      <c r="L69" s="43">
        <f t="shared" si="11"/>
        <v>5.7999999999999989</v>
      </c>
      <c r="M69" s="43">
        <v>5.0999999999999996</v>
      </c>
    </row>
    <row r="70" spans="1:13">
      <c r="A70" s="41">
        <v>43500</v>
      </c>
      <c r="B70" s="43">
        <v>614.79999999999995</v>
      </c>
      <c r="C70" s="43">
        <f t="shared" si="8"/>
        <v>2.0329999999999808</v>
      </c>
      <c r="D70" s="43">
        <f t="shared" si="6"/>
        <v>2.0626666666666669</v>
      </c>
      <c r="E70" s="43">
        <f t="shared" si="7"/>
        <v>2.0626666666666669</v>
      </c>
      <c r="F70" s="43">
        <f t="shared" si="9"/>
        <v>-2.9666666666686048E-2</v>
      </c>
      <c r="H70" s="44">
        <v>-1.1000000000000014</v>
      </c>
      <c r="I70" s="43">
        <v>0.4</v>
      </c>
      <c r="J70" s="44">
        <v>-1.1000000000000014</v>
      </c>
      <c r="K70" s="43">
        <f t="shared" si="10"/>
        <v>1.4</v>
      </c>
      <c r="L70" s="43">
        <f t="shared" si="11"/>
        <v>2.5000000000000013</v>
      </c>
      <c r="M70" s="43">
        <v>0.4</v>
      </c>
    </row>
    <row r="71" spans="1:13">
      <c r="A71" s="45">
        <v>43501</v>
      </c>
      <c r="B71" s="43">
        <v>618.9</v>
      </c>
      <c r="C71" s="43">
        <f t="shared" si="8"/>
        <v>1.7365208333333426</v>
      </c>
      <c r="D71" s="43">
        <f t="shared" si="6"/>
        <v>1.3806666666666665</v>
      </c>
      <c r="E71" s="43">
        <f t="shared" si="7"/>
        <v>2.277333333333333</v>
      </c>
      <c r="F71" s="43">
        <f t="shared" si="9"/>
        <v>-0.54081249999999037</v>
      </c>
      <c r="G71" s="43">
        <v>538</v>
      </c>
      <c r="H71" s="44">
        <v>-3.3999999999999986</v>
      </c>
      <c r="I71" s="43">
        <v>-0.4</v>
      </c>
      <c r="J71" s="44">
        <v>-3.3999999999999986</v>
      </c>
      <c r="K71" s="43">
        <f t="shared" si="10"/>
        <v>-3.8833333333333333</v>
      </c>
      <c r="L71" s="43">
        <f t="shared" si="11"/>
        <v>-0.48333333333333472</v>
      </c>
      <c r="M71" s="43">
        <v>-0.4</v>
      </c>
    </row>
    <row r="72" spans="1:13">
      <c r="A72" s="45">
        <v>43502</v>
      </c>
      <c r="B72" s="43">
        <v>624.79999999999995</v>
      </c>
      <c r="C72" s="43">
        <f t="shared" si="8"/>
        <v>2.4988958333333233</v>
      </c>
      <c r="D72" s="43">
        <f t="shared" ref="D72:D85" si="12">(D$2-H72)*D$1/30-D$3*G72/60/24</f>
        <v>1.5893333333333335</v>
      </c>
      <c r="E72" s="43">
        <f t="shared" ref="E72:E85" si="13">(D$2-H72)*D$1/30</f>
        <v>2.0626666666666669</v>
      </c>
      <c r="F72" s="43">
        <f t="shared" si="9"/>
        <v>0.43622916666665645</v>
      </c>
      <c r="G72" s="43">
        <v>284</v>
      </c>
      <c r="H72" s="44">
        <v>-1.1000000000000014</v>
      </c>
      <c r="I72" s="43">
        <v>0.6</v>
      </c>
      <c r="J72" s="44">
        <v>-1.1000000000000014</v>
      </c>
      <c r="K72" s="43">
        <f t="shared" si="10"/>
        <v>-0.76666666666666661</v>
      </c>
      <c r="L72" s="43">
        <f t="shared" si="11"/>
        <v>0.33333333333333481</v>
      </c>
      <c r="M72" s="43">
        <v>0.6</v>
      </c>
    </row>
    <row r="73" spans="1:13">
      <c r="A73" s="45">
        <v>43503</v>
      </c>
      <c r="B73" s="43">
        <v>628.20000000000005</v>
      </c>
      <c r="C73" s="43">
        <f t="shared" ref="C73:C85" si="14">(B73-B72)/(A73-A72)*10.7/24*C$6</f>
        <v>1.4400416666667051</v>
      </c>
      <c r="D73" s="43">
        <f t="shared" si="12"/>
        <v>1.2623333333333329</v>
      </c>
      <c r="E73" s="43">
        <f t="shared" si="13"/>
        <v>2.1839999999999997</v>
      </c>
      <c r="F73" s="43">
        <f t="shared" ref="F73:F85" si="15">C73-E73</f>
        <v>-0.74395833333329464</v>
      </c>
      <c r="G73" s="43">
        <v>553</v>
      </c>
      <c r="H73" s="44">
        <v>-2.3999999999999986</v>
      </c>
      <c r="I73" s="43">
        <v>1.1000000000000001</v>
      </c>
      <c r="J73" s="44">
        <v>-2.3999999999999986</v>
      </c>
      <c r="K73" s="43">
        <f t="shared" ref="K73:K85" si="16">M73+K$6+G73*K$5/60</f>
        <v>-2.5083333333333333</v>
      </c>
      <c r="L73" s="43">
        <f t="shared" ref="L73:L85" si="17">K73-J73</f>
        <v>-0.10833333333333472</v>
      </c>
      <c r="M73" s="43">
        <v>1.1000000000000001</v>
      </c>
    </row>
    <row r="74" spans="1:13">
      <c r="A74" s="45">
        <v>43504</v>
      </c>
      <c r="B74" s="43">
        <v>631.5</v>
      </c>
      <c r="C74" s="43">
        <f t="shared" si="14"/>
        <v>1.3976874999999807</v>
      </c>
      <c r="D74" s="43">
        <f t="shared" si="12"/>
        <v>1.4333333333333331</v>
      </c>
      <c r="E74" s="43">
        <f t="shared" si="13"/>
        <v>1.7266666666666666</v>
      </c>
      <c r="F74" s="43">
        <f t="shared" si="15"/>
        <v>-0.32897916666668592</v>
      </c>
      <c r="G74" s="43">
        <v>176</v>
      </c>
      <c r="H74" s="44">
        <v>2.5</v>
      </c>
      <c r="I74" s="43">
        <v>2.7</v>
      </c>
      <c r="J74" s="44">
        <v>2.5</v>
      </c>
      <c r="K74" s="43">
        <f t="shared" si="16"/>
        <v>2.2333333333333334</v>
      </c>
      <c r="L74" s="43">
        <f t="shared" si="17"/>
        <v>-0.26666666666666661</v>
      </c>
      <c r="M74" s="43">
        <v>2.7</v>
      </c>
    </row>
    <row r="75" spans="1:13">
      <c r="A75" s="45">
        <v>43505</v>
      </c>
      <c r="B75" s="43">
        <v>635</v>
      </c>
      <c r="C75" s="43">
        <f t="shared" si="14"/>
        <v>1.4823958333333331</v>
      </c>
      <c r="D75" s="43">
        <f t="shared" si="12"/>
        <v>1.5399999999999998</v>
      </c>
      <c r="E75" s="43">
        <f t="shared" si="13"/>
        <v>1.5399999999999998</v>
      </c>
      <c r="F75" s="43">
        <f t="shared" si="15"/>
        <v>-5.7604166666666679E-2</v>
      </c>
      <c r="H75" s="44">
        <v>4.5</v>
      </c>
      <c r="I75" s="43">
        <v>4.0999999999999996</v>
      </c>
      <c r="J75" s="44">
        <v>4.5</v>
      </c>
      <c r="K75" s="43">
        <f t="shared" si="16"/>
        <v>5.0999999999999996</v>
      </c>
      <c r="L75" s="43">
        <f t="shared" si="17"/>
        <v>0.59999999999999964</v>
      </c>
      <c r="M75" s="43">
        <v>4.0999999999999996</v>
      </c>
    </row>
    <row r="76" spans="1:13">
      <c r="A76" s="41">
        <v>43506</v>
      </c>
      <c r="B76" s="43">
        <v>638.70000000000005</v>
      </c>
      <c r="C76" s="43">
        <f t="shared" si="14"/>
        <v>1.5671041666666858</v>
      </c>
      <c r="D76" s="43">
        <f t="shared" si="12"/>
        <v>1.1166666666666665</v>
      </c>
      <c r="E76" s="43">
        <f t="shared" si="13"/>
        <v>1.4466666666666665</v>
      </c>
      <c r="F76" s="43">
        <f t="shared" si="15"/>
        <v>0.12043750000001929</v>
      </c>
      <c r="G76" s="43">
        <v>198</v>
      </c>
      <c r="H76" s="44">
        <v>5.5</v>
      </c>
      <c r="I76" s="43">
        <v>5.9</v>
      </c>
      <c r="J76" s="44">
        <v>5.5</v>
      </c>
      <c r="K76" s="43">
        <f t="shared" si="16"/>
        <v>5.25</v>
      </c>
      <c r="L76" s="43">
        <f t="shared" si="17"/>
        <v>-0.25</v>
      </c>
      <c r="M76" s="43">
        <v>5.9</v>
      </c>
    </row>
    <row r="77" spans="1:13">
      <c r="A77" s="41">
        <v>43507</v>
      </c>
      <c r="B77" s="43">
        <v>641.4</v>
      </c>
      <c r="C77" s="43">
        <f t="shared" si="14"/>
        <v>1.1435624999999709</v>
      </c>
      <c r="D77" s="43">
        <f t="shared" si="12"/>
        <v>1.2963333333333333</v>
      </c>
      <c r="E77" s="43">
        <f t="shared" si="13"/>
        <v>1.5680000000000001</v>
      </c>
      <c r="F77" s="43">
        <f t="shared" si="15"/>
        <v>-0.42443750000002911</v>
      </c>
      <c r="G77" s="43">
        <v>163</v>
      </c>
      <c r="H77" s="44">
        <v>4.1999999999999993</v>
      </c>
      <c r="I77" s="43">
        <v>4.3</v>
      </c>
      <c r="J77" s="44">
        <v>4.1999999999999993</v>
      </c>
      <c r="K77" s="43">
        <f t="shared" si="16"/>
        <v>3.9416666666666664</v>
      </c>
      <c r="L77" s="43">
        <f t="shared" si="17"/>
        <v>-0.25833333333333286</v>
      </c>
      <c r="M77" s="43">
        <v>4.3</v>
      </c>
    </row>
    <row r="78" spans="1:13">
      <c r="A78" s="41">
        <v>43508</v>
      </c>
      <c r="B78" s="43">
        <v>646.4</v>
      </c>
      <c r="C78" s="43">
        <f t="shared" si="14"/>
        <v>2.1177083333333333</v>
      </c>
      <c r="D78" s="43">
        <f t="shared" si="12"/>
        <v>1.5096666666666665</v>
      </c>
      <c r="E78" s="43">
        <f t="shared" si="13"/>
        <v>1.8013333333333332</v>
      </c>
      <c r="F78" s="43">
        <f t="shared" si="15"/>
        <v>0.31637500000000007</v>
      </c>
      <c r="G78" s="43">
        <v>175</v>
      </c>
      <c r="H78" s="44">
        <v>1.6999999999999993</v>
      </c>
      <c r="I78" s="43">
        <v>0</v>
      </c>
      <c r="J78" s="44">
        <v>1.6999999999999993</v>
      </c>
      <c r="K78" s="43">
        <f t="shared" si="16"/>
        <v>-0.45833333333333326</v>
      </c>
      <c r="L78" s="43">
        <f t="shared" si="17"/>
        <v>-2.1583333333333323</v>
      </c>
      <c r="M78" s="43">
        <v>0</v>
      </c>
    </row>
    <row r="79" spans="1:13">
      <c r="A79" s="41">
        <v>43509</v>
      </c>
      <c r="B79" s="43">
        <v>650.70000000000005</v>
      </c>
      <c r="C79" s="43">
        <f t="shared" si="14"/>
        <v>1.8212291666666953</v>
      </c>
      <c r="D79" s="43">
        <f t="shared" si="12"/>
        <v>1.5399999999999998</v>
      </c>
      <c r="E79" s="43">
        <f t="shared" si="13"/>
        <v>1.5399999999999998</v>
      </c>
      <c r="F79" s="43">
        <f t="shared" si="15"/>
        <v>0.28122916666669551</v>
      </c>
      <c r="H79" s="44">
        <v>4.5</v>
      </c>
      <c r="I79" s="43">
        <v>2.6</v>
      </c>
      <c r="J79" s="44">
        <v>4.5</v>
      </c>
      <c r="K79" s="43">
        <f t="shared" si="16"/>
        <v>3.6</v>
      </c>
      <c r="L79" s="43">
        <f t="shared" si="17"/>
        <v>-0.89999999999999991</v>
      </c>
      <c r="M79" s="43">
        <v>2.6</v>
      </c>
    </row>
    <row r="80" spans="1:13">
      <c r="A80" s="41">
        <v>43510</v>
      </c>
      <c r="B80" s="43">
        <v>655.1</v>
      </c>
      <c r="C80" s="43">
        <f t="shared" si="14"/>
        <v>1.8635833333333236</v>
      </c>
      <c r="D80" s="43">
        <f t="shared" si="12"/>
        <v>1.5026666666666666</v>
      </c>
      <c r="E80" s="43">
        <f t="shared" si="13"/>
        <v>1.5026666666666666</v>
      </c>
      <c r="F80" s="43">
        <f t="shared" si="15"/>
        <v>0.360916666666657</v>
      </c>
      <c r="H80" s="44">
        <v>4.8999999999999986</v>
      </c>
      <c r="I80" s="43">
        <v>4.8</v>
      </c>
      <c r="J80" s="44">
        <v>4.8999999999999986</v>
      </c>
      <c r="K80" s="43">
        <f t="shared" si="16"/>
        <v>5.8</v>
      </c>
      <c r="L80" s="43">
        <f t="shared" si="17"/>
        <v>0.90000000000000124</v>
      </c>
      <c r="M80" s="43">
        <v>4.8</v>
      </c>
    </row>
    <row r="81" spans="1:13">
      <c r="A81" s="45">
        <v>43511</v>
      </c>
      <c r="B81" s="43">
        <v>657.7</v>
      </c>
      <c r="C81" s="43">
        <f t="shared" si="14"/>
        <v>1.1012083333333429</v>
      </c>
      <c r="D81" s="43">
        <f t="shared" si="12"/>
        <v>1.3343333333333334</v>
      </c>
      <c r="E81" s="43">
        <f t="shared" si="13"/>
        <v>1.6426666666666667</v>
      </c>
      <c r="F81" s="43">
        <f t="shared" si="15"/>
        <v>-0.54145833333332383</v>
      </c>
      <c r="G81" s="43">
        <v>185</v>
      </c>
      <c r="H81" s="44">
        <v>3.3999999999999986</v>
      </c>
      <c r="I81" s="43">
        <v>5.0999999999999996</v>
      </c>
      <c r="J81" s="44">
        <v>3.3999999999999986</v>
      </c>
      <c r="K81" s="43">
        <f t="shared" si="16"/>
        <v>4.5583333333333327</v>
      </c>
      <c r="L81" s="43">
        <f t="shared" si="17"/>
        <v>1.1583333333333341</v>
      </c>
      <c r="M81" s="43">
        <v>5.0999999999999996</v>
      </c>
    </row>
    <row r="82" spans="1:13">
      <c r="A82" s="45">
        <v>43512</v>
      </c>
      <c r="B82" s="43">
        <v>660.5</v>
      </c>
      <c r="C82" s="43">
        <f t="shared" si="14"/>
        <v>1.1859166666666472</v>
      </c>
      <c r="D82" s="43">
        <f t="shared" si="12"/>
        <v>0.9660000000000003</v>
      </c>
      <c r="E82" s="43">
        <f t="shared" si="13"/>
        <v>1.8760000000000001</v>
      </c>
      <c r="F82" s="43">
        <f t="shared" si="15"/>
        <v>-0.69008333333335292</v>
      </c>
      <c r="G82" s="43">
        <v>546</v>
      </c>
      <c r="H82" s="44">
        <v>0.89999999999999858</v>
      </c>
      <c r="I82" s="43">
        <v>5.3</v>
      </c>
      <c r="J82" s="44">
        <v>0.89999999999999858</v>
      </c>
      <c r="K82" s="43">
        <f t="shared" si="16"/>
        <v>1.75</v>
      </c>
      <c r="L82" s="43">
        <f t="shared" si="17"/>
        <v>0.85000000000000142</v>
      </c>
      <c r="M82" s="43">
        <v>5.3</v>
      </c>
    </row>
    <row r="83" spans="1:13">
      <c r="A83" s="45">
        <v>43513</v>
      </c>
      <c r="B83" s="43">
        <v>663.3</v>
      </c>
      <c r="C83" s="43">
        <f t="shared" si="14"/>
        <v>1.1859166666666472</v>
      </c>
      <c r="D83" s="43">
        <f t="shared" si="12"/>
        <v>0.72799999999999998</v>
      </c>
      <c r="E83" s="43">
        <f t="shared" si="13"/>
        <v>1.7546666666666666</v>
      </c>
      <c r="F83" s="43">
        <f t="shared" si="15"/>
        <v>-0.56875000000001941</v>
      </c>
      <c r="G83" s="43">
        <v>616</v>
      </c>
      <c r="H83" s="44">
        <v>2.1999999999999993</v>
      </c>
      <c r="I83" s="43">
        <v>5.3</v>
      </c>
      <c r="J83" s="44">
        <v>2.1999999999999993</v>
      </c>
      <c r="K83" s="43">
        <f t="shared" si="16"/>
        <v>1.1666666666666661</v>
      </c>
      <c r="L83" s="43">
        <f t="shared" si="17"/>
        <v>-1.0333333333333332</v>
      </c>
      <c r="M83" s="43">
        <v>5.3</v>
      </c>
    </row>
    <row r="84" spans="1:13">
      <c r="A84" s="45">
        <v>43514</v>
      </c>
      <c r="B84" s="43">
        <v>664.4</v>
      </c>
      <c r="C84" s="43">
        <f t="shared" si="14"/>
        <v>0.46589583333334289</v>
      </c>
      <c r="D84" s="43">
        <f t="shared" si="12"/>
        <v>0.81200000000000006</v>
      </c>
      <c r="E84" s="43">
        <f t="shared" si="13"/>
        <v>1.792</v>
      </c>
      <c r="F84" s="43">
        <f t="shared" si="15"/>
        <v>-1.3261041666666571</v>
      </c>
      <c r="G84" s="43">
        <v>588</v>
      </c>
      <c r="H84" s="44">
        <v>1.8000000000000007</v>
      </c>
      <c r="I84" s="43">
        <v>5.0999999999999996</v>
      </c>
      <c r="J84" s="44">
        <v>1.8000000000000007</v>
      </c>
      <c r="K84" s="43">
        <f t="shared" si="16"/>
        <v>1.1999999999999993</v>
      </c>
      <c r="L84" s="43">
        <f t="shared" si="17"/>
        <v>-0.60000000000000142</v>
      </c>
      <c r="M84" s="43">
        <v>5.0999999999999996</v>
      </c>
    </row>
    <row r="85" spans="1:13">
      <c r="A85" s="45">
        <v>43515</v>
      </c>
      <c r="B85" s="43">
        <v>666.6</v>
      </c>
      <c r="C85" s="43">
        <f t="shared" si="14"/>
        <v>0.93179166666668578</v>
      </c>
      <c r="D85" s="43">
        <f t="shared" si="12"/>
        <v>0.5083333333333333</v>
      </c>
      <c r="E85" s="43">
        <f t="shared" si="13"/>
        <v>1.5399999999999998</v>
      </c>
      <c r="F85" s="43">
        <f t="shared" si="15"/>
        <v>-0.60820833333331403</v>
      </c>
      <c r="G85" s="43">
        <v>619</v>
      </c>
      <c r="H85" s="44">
        <v>4.5</v>
      </c>
      <c r="I85" s="43">
        <v>5.5</v>
      </c>
      <c r="J85" s="44">
        <v>4.5</v>
      </c>
      <c r="K85" s="43">
        <f t="shared" si="16"/>
        <v>1.3416666666666668</v>
      </c>
      <c r="L85" s="43">
        <f t="shared" si="17"/>
        <v>-3.1583333333333332</v>
      </c>
      <c r="M85" s="43">
        <v>5.5</v>
      </c>
    </row>
    <row r="86" spans="1:13">
      <c r="A86" s="41"/>
      <c r="J86" s="44">
        <v>0</v>
      </c>
    </row>
    <row r="87" spans="1:13">
      <c r="A87" s="41"/>
      <c r="J87" s="44">
        <v>0</v>
      </c>
    </row>
    <row r="88" spans="1:13">
      <c r="A88" s="41"/>
      <c r="J88" s="44">
        <v>0</v>
      </c>
    </row>
    <row r="89" spans="1:13">
      <c r="A89" s="41"/>
      <c r="J89" s="44">
        <v>0</v>
      </c>
    </row>
    <row r="90" spans="1:13">
      <c r="A90" s="41"/>
      <c r="J90" s="44">
        <v>0</v>
      </c>
    </row>
    <row r="91" spans="1:13">
      <c r="A91" s="41"/>
      <c r="J91" s="44">
        <v>0</v>
      </c>
    </row>
    <row r="92" spans="1:13">
      <c r="A92" s="41"/>
    </row>
    <row r="93" spans="1:13">
      <c r="A93" s="41"/>
    </row>
  </sheetData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49"/>
  <sheetViews>
    <sheetView workbookViewId="0">
      <selection activeCell="A4" sqref="A4"/>
    </sheetView>
  </sheetViews>
  <sheetFormatPr defaultRowHeight="15"/>
  <cols>
    <col min="1" max="16384" width="9.140625" style="141"/>
  </cols>
  <sheetData>
    <row r="1" spans="1:11">
      <c r="A1" s="146" t="s">
        <v>1026</v>
      </c>
      <c r="I1" s="146" t="s">
        <v>421</v>
      </c>
    </row>
    <row r="2" spans="1:11">
      <c r="F2" s="144">
        <v>0.45</v>
      </c>
      <c r="G2" s="141" t="s">
        <v>1027</v>
      </c>
    </row>
    <row r="3" spans="1:11">
      <c r="A3" s="141" t="s">
        <v>1538</v>
      </c>
      <c r="E3" s="141" t="s">
        <v>1025</v>
      </c>
      <c r="G3" s="144">
        <v>3</v>
      </c>
      <c r="H3" s="141" t="s">
        <v>275</v>
      </c>
      <c r="K3" s="141" t="s">
        <v>1028</v>
      </c>
    </row>
    <row r="4" spans="1:11">
      <c r="E4" s="141" t="s">
        <v>1024</v>
      </c>
      <c r="G4" s="144">
        <v>12</v>
      </c>
      <c r="H4" s="141" t="s">
        <v>6</v>
      </c>
      <c r="K4" s="141" t="s">
        <v>1029</v>
      </c>
    </row>
    <row r="5" spans="1:11">
      <c r="B5" s="141" t="s">
        <v>34</v>
      </c>
      <c r="E5" s="141">
        <v>18.554838709677444</v>
      </c>
      <c r="F5" s="141" t="s">
        <v>1023</v>
      </c>
      <c r="G5" s="141" t="s">
        <v>1022</v>
      </c>
      <c r="K5" s="141" t="s">
        <v>1030</v>
      </c>
    </row>
    <row r="6" spans="1:11">
      <c r="A6" s="34">
        <v>42614</v>
      </c>
      <c r="B6" s="141">
        <v>267</v>
      </c>
      <c r="C6" s="141">
        <v>50</v>
      </c>
      <c r="D6" s="141">
        <v>317</v>
      </c>
      <c r="E6" s="141">
        <v>17.559999999999945</v>
      </c>
      <c r="F6" s="141">
        <f t="shared" ref="F6:F36" si="0">D6/(A7-A6)/24-F$2</f>
        <v>-9.7222222222222432E-3</v>
      </c>
      <c r="G6" s="141">
        <f>IF((G$4-E6)&gt;0,(G$4-E6)*G$3/30,0)</f>
        <v>0</v>
      </c>
      <c r="K6" s="141" t="s">
        <v>1031</v>
      </c>
    </row>
    <row r="7" spans="1:11">
      <c r="A7" s="34">
        <v>42644</v>
      </c>
      <c r="B7" s="141">
        <v>514</v>
      </c>
      <c r="C7" s="141">
        <v>105</v>
      </c>
      <c r="D7" s="141">
        <v>619</v>
      </c>
      <c r="E7" s="141">
        <v>8.4258064516128393</v>
      </c>
      <c r="F7" s="141">
        <f t="shared" si="0"/>
        <v>0.38198924731182798</v>
      </c>
      <c r="G7" s="141">
        <f t="shared" ref="G7:G36" si="1">IF((G$4-E7)&gt;0,(G$4-E7)*G$3/30,0)</f>
        <v>0.35741935483871606</v>
      </c>
    </row>
    <row r="8" spans="1:11">
      <c r="A8" s="34">
        <v>42675</v>
      </c>
      <c r="B8" s="141">
        <v>772</v>
      </c>
      <c r="C8" s="141">
        <v>142</v>
      </c>
      <c r="D8" s="141">
        <v>914</v>
      </c>
      <c r="E8" s="141">
        <v>3.2900000000000245</v>
      </c>
      <c r="F8" s="141">
        <f t="shared" si="0"/>
        <v>0.81944444444444442</v>
      </c>
      <c r="G8" s="141">
        <f t="shared" si="1"/>
        <v>0.87099999999999755</v>
      </c>
    </row>
    <row r="9" spans="1:11">
      <c r="A9" s="34">
        <v>42705</v>
      </c>
      <c r="B9" s="141">
        <v>963</v>
      </c>
      <c r="C9" s="141">
        <v>179</v>
      </c>
      <c r="D9" s="141">
        <v>1142</v>
      </c>
      <c r="E9" s="141">
        <v>0.53548387096778305</v>
      </c>
      <c r="F9" s="141">
        <f t="shared" si="0"/>
        <v>1.0849462365591398</v>
      </c>
      <c r="G9" s="141">
        <f t="shared" si="1"/>
        <v>1.1464516129032216</v>
      </c>
    </row>
    <row r="10" spans="1:11">
      <c r="A10" s="34">
        <v>42736</v>
      </c>
      <c r="B10" s="141">
        <v>1374</v>
      </c>
      <c r="C10" s="141">
        <v>179</v>
      </c>
      <c r="D10" s="141">
        <v>1553</v>
      </c>
      <c r="E10" s="141">
        <v>-4.5935483870967921</v>
      </c>
      <c r="F10" s="141">
        <f t="shared" si="0"/>
        <v>1.6373655913978495</v>
      </c>
      <c r="G10" s="141">
        <f t="shared" si="1"/>
        <v>1.6593548387096793</v>
      </c>
    </row>
    <row r="11" spans="1:11">
      <c r="A11" s="34">
        <v>42767</v>
      </c>
      <c r="B11" s="141">
        <v>863</v>
      </c>
      <c r="C11" s="141">
        <v>224</v>
      </c>
      <c r="D11" s="141">
        <v>1087</v>
      </c>
      <c r="E11" s="141">
        <v>2.2964285714285455</v>
      </c>
      <c r="F11" s="141">
        <f t="shared" si="0"/>
        <v>1.1675595238095238</v>
      </c>
      <c r="G11" s="141">
        <f t="shared" si="1"/>
        <v>0.97035714285714536</v>
      </c>
    </row>
    <row r="12" spans="1:11">
      <c r="A12" s="34">
        <v>42795</v>
      </c>
      <c r="B12" s="141">
        <v>529</v>
      </c>
      <c r="C12" s="141">
        <v>105</v>
      </c>
      <c r="D12" s="141">
        <v>634</v>
      </c>
      <c r="E12" s="141">
        <v>7.5483870967742233</v>
      </c>
      <c r="F12" s="141">
        <f t="shared" si="0"/>
        <v>0.40215053763440861</v>
      </c>
      <c r="G12" s="141">
        <f t="shared" si="1"/>
        <v>0.44516129032257773</v>
      </c>
    </row>
    <row r="13" spans="1:11">
      <c r="A13" s="34">
        <v>42826</v>
      </c>
      <c r="B13" s="141">
        <v>471</v>
      </c>
      <c r="C13" s="141">
        <v>96</v>
      </c>
      <c r="D13" s="141">
        <v>567</v>
      </c>
      <c r="E13" s="141">
        <v>8.0766666666666733</v>
      </c>
      <c r="F13" s="141">
        <f t="shared" si="0"/>
        <v>0.33749999999999997</v>
      </c>
      <c r="G13" s="141">
        <f t="shared" si="1"/>
        <v>0.39233333333333265</v>
      </c>
    </row>
    <row r="14" spans="1:11">
      <c r="A14" s="34">
        <v>42856</v>
      </c>
      <c r="B14" s="141">
        <v>304</v>
      </c>
      <c r="C14" s="141">
        <v>63</v>
      </c>
      <c r="D14" s="141">
        <v>367</v>
      </c>
      <c r="E14" s="141">
        <v>15.090322580645168</v>
      </c>
      <c r="F14" s="141">
        <f t="shared" si="0"/>
        <v>4.3279569892473058E-2</v>
      </c>
      <c r="G14" s="141">
        <f t="shared" si="1"/>
        <v>0</v>
      </c>
    </row>
    <row r="15" spans="1:11">
      <c r="A15" s="34">
        <v>42887</v>
      </c>
      <c r="D15" s="141">
        <v>301</v>
      </c>
      <c r="E15" s="141">
        <v>19.273333333333298</v>
      </c>
      <c r="F15" s="141">
        <f t="shared" si="0"/>
        <v>-3.1944444444444442E-2</v>
      </c>
      <c r="G15" s="141">
        <f t="shared" si="1"/>
        <v>0</v>
      </c>
    </row>
    <row r="16" spans="1:11">
      <c r="A16" s="34">
        <v>42917</v>
      </c>
      <c r="D16" s="141">
        <v>325</v>
      </c>
      <c r="E16" s="141">
        <v>20.083870967741888</v>
      </c>
      <c r="F16" s="141">
        <f t="shared" si="0"/>
        <v>-1.3172043010752699E-2</v>
      </c>
      <c r="G16" s="141">
        <f t="shared" si="1"/>
        <v>0</v>
      </c>
    </row>
    <row r="17" spans="1:7">
      <c r="A17" s="34">
        <v>42948</v>
      </c>
      <c r="D17" s="141">
        <v>311</v>
      </c>
      <c r="E17" s="141">
        <v>19.338709677419356</v>
      </c>
      <c r="F17" s="141">
        <f t="shared" si="0"/>
        <v>-3.1989247311827951E-2</v>
      </c>
      <c r="G17" s="141">
        <f t="shared" si="1"/>
        <v>0</v>
      </c>
    </row>
    <row r="18" spans="1:7">
      <c r="A18" s="34">
        <v>42979</v>
      </c>
      <c r="D18" s="141">
        <v>342</v>
      </c>
      <c r="E18" s="141">
        <v>13.006666666666872</v>
      </c>
      <c r="F18" s="141">
        <f t="shared" si="0"/>
        <v>2.5000000000000022E-2</v>
      </c>
      <c r="G18" s="141">
        <f t="shared" si="1"/>
        <v>0</v>
      </c>
    </row>
    <row r="19" spans="1:7">
      <c r="A19" s="34">
        <v>43009</v>
      </c>
      <c r="D19" s="141">
        <v>465</v>
      </c>
      <c r="E19" s="141">
        <v>10.809677419354909</v>
      </c>
      <c r="F19" s="141">
        <f t="shared" si="0"/>
        <v>0.17499999999999999</v>
      </c>
      <c r="G19" s="141">
        <f t="shared" si="1"/>
        <v>0.11903225806450912</v>
      </c>
    </row>
    <row r="20" spans="1:7">
      <c r="A20" s="34">
        <v>43040</v>
      </c>
      <c r="D20" s="141">
        <v>716</v>
      </c>
      <c r="E20" s="141">
        <v>4.6066666666667517</v>
      </c>
      <c r="F20" s="141">
        <f t="shared" si="0"/>
        <v>0.54444444444444451</v>
      </c>
      <c r="G20" s="141">
        <f t="shared" si="1"/>
        <v>0.73933333333332485</v>
      </c>
    </row>
    <row r="21" spans="1:7">
      <c r="A21" s="34">
        <v>43070</v>
      </c>
      <c r="D21" s="141">
        <v>905</v>
      </c>
      <c r="E21" s="141">
        <v>2.2806451612904635</v>
      </c>
      <c r="F21" s="141">
        <f t="shared" si="0"/>
        <v>0.76639784946236578</v>
      </c>
      <c r="G21" s="141">
        <f t="shared" si="1"/>
        <v>0.97193548387095374</v>
      </c>
    </row>
    <row r="22" spans="1:7">
      <c r="A22" s="34">
        <v>43101</v>
      </c>
      <c r="D22" s="141">
        <v>853</v>
      </c>
      <c r="E22" s="141">
        <v>3.2483870967741582</v>
      </c>
      <c r="F22" s="141">
        <f t="shared" si="0"/>
        <v>0.69650537634408605</v>
      </c>
      <c r="G22" s="141">
        <f t="shared" si="1"/>
        <v>0.87516129032258427</v>
      </c>
    </row>
    <row r="23" spans="1:7">
      <c r="A23" s="34">
        <v>43132</v>
      </c>
      <c r="D23" s="141">
        <v>1314</v>
      </c>
      <c r="E23" s="141">
        <v>-2.5500000000000518</v>
      </c>
      <c r="F23" s="141">
        <f t="shared" si="0"/>
        <v>1.5053571428571431</v>
      </c>
      <c r="G23" s="141">
        <f t="shared" si="1"/>
        <v>1.4550000000000052</v>
      </c>
    </row>
    <row r="24" spans="1:7">
      <c r="A24" s="34">
        <v>43160</v>
      </c>
      <c r="D24" s="141">
        <v>919</v>
      </c>
      <c r="E24" s="141">
        <v>2.3838709677420411</v>
      </c>
      <c r="F24" s="141">
        <f t="shared" si="0"/>
        <v>0.78521505376344081</v>
      </c>
      <c r="G24" s="141">
        <f t="shared" si="1"/>
        <v>0.96161290322579585</v>
      </c>
    </row>
    <row r="25" spans="1:7">
      <c r="A25" s="34">
        <v>43191</v>
      </c>
      <c r="D25" s="141">
        <v>358</v>
      </c>
      <c r="E25" s="141">
        <v>13.99333333333337</v>
      </c>
      <c r="F25" s="141">
        <f t="shared" si="0"/>
        <v>4.7222222222222221E-2</v>
      </c>
      <c r="G25" s="141">
        <f t="shared" si="1"/>
        <v>0</v>
      </c>
    </row>
    <row r="26" spans="1:7">
      <c r="A26" s="34">
        <v>43221</v>
      </c>
      <c r="D26" s="141">
        <v>313</v>
      </c>
      <c r="E26" s="141">
        <v>17.454838709677372</v>
      </c>
      <c r="F26" s="141">
        <f t="shared" si="0"/>
        <v>-2.93010752688172E-2</v>
      </c>
      <c r="G26" s="141">
        <f t="shared" si="1"/>
        <v>0</v>
      </c>
    </row>
    <row r="27" spans="1:7">
      <c r="A27" s="34">
        <v>43252</v>
      </c>
      <c r="D27" s="141">
        <v>242</v>
      </c>
      <c r="E27" s="141">
        <v>18.759999999999977</v>
      </c>
      <c r="F27" s="141">
        <f t="shared" si="0"/>
        <v>-0.11388888888888893</v>
      </c>
      <c r="G27" s="141">
        <f t="shared" si="1"/>
        <v>0</v>
      </c>
    </row>
    <row r="28" spans="1:7">
      <c r="A28" s="34">
        <v>43282</v>
      </c>
      <c r="D28" s="141">
        <v>359</v>
      </c>
      <c r="E28" s="141">
        <v>21.961290322580503</v>
      </c>
      <c r="F28" s="141">
        <f t="shared" si="0"/>
        <v>3.2526881720430056E-2</v>
      </c>
      <c r="G28" s="141">
        <f t="shared" si="1"/>
        <v>0</v>
      </c>
    </row>
    <row r="29" spans="1:7">
      <c r="A29" s="34">
        <v>43313</v>
      </c>
      <c r="D29" s="141">
        <v>408</v>
      </c>
      <c r="E29" s="141">
        <v>21.751612903225901</v>
      </c>
      <c r="F29" s="141">
        <f t="shared" si="0"/>
        <v>9.8387096774193605E-2</v>
      </c>
      <c r="G29" s="141">
        <f t="shared" si="1"/>
        <v>0</v>
      </c>
    </row>
    <row r="30" spans="1:7">
      <c r="A30" s="34">
        <v>43344</v>
      </c>
      <c r="D30" s="141">
        <v>307</v>
      </c>
      <c r="E30" s="141">
        <v>16.043333333333369</v>
      </c>
      <c r="F30" s="141">
        <f t="shared" si="0"/>
        <v>-2.3611111111111138E-2</v>
      </c>
      <c r="G30" s="141">
        <f t="shared" si="1"/>
        <v>0</v>
      </c>
    </row>
    <row r="31" spans="1:7">
      <c r="A31" s="34">
        <v>43374</v>
      </c>
      <c r="D31" s="141">
        <v>448</v>
      </c>
      <c r="E31" s="141">
        <v>11.01935483870969</v>
      </c>
      <c r="F31" s="141">
        <f t="shared" si="0"/>
        <v>0.15215053763440861</v>
      </c>
      <c r="G31" s="141">
        <f t="shared" si="1"/>
        <v>9.8064516129030999E-2</v>
      </c>
    </row>
    <row r="32" spans="1:7">
      <c r="A32" s="34">
        <v>43405</v>
      </c>
      <c r="D32" s="141">
        <v>636</v>
      </c>
      <c r="E32" s="141">
        <v>4.2866666666666786</v>
      </c>
      <c r="F32" s="141">
        <f t="shared" si="0"/>
        <v>0.43333333333333329</v>
      </c>
      <c r="G32" s="141">
        <f t="shared" si="1"/>
        <v>0.77133333333333221</v>
      </c>
    </row>
    <row r="33" spans="1:7">
      <c r="A33" s="34">
        <v>43435</v>
      </c>
      <c r="D33" s="141">
        <v>3007</v>
      </c>
      <c r="E33" s="141">
        <v>2.8141509433961338</v>
      </c>
      <c r="F33" s="141">
        <f t="shared" si="0"/>
        <v>0.73199685534591197</v>
      </c>
      <c r="G33" s="141">
        <f t="shared" si="1"/>
        <v>0.91858490566038664</v>
      </c>
    </row>
    <row r="34" spans="1:7">
      <c r="A34" s="34">
        <v>43541</v>
      </c>
      <c r="D34" s="141">
        <v>753</v>
      </c>
      <c r="E34" s="141">
        <v>9.8066666666666915</v>
      </c>
      <c r="F34" s="141">
        <f t="shared" si="0"/>
        <v>0.24722222222222229</v>
      </c>
      <c r="G34" s="141">
        <f t="shared" si="1"/>
        <v>0.21933333333333085</v>
      </c>
    </row>
    <row r="35" spans="1:7">
      <c r="A35" s="34">
        <v>43586</v>
      </c>
      <c r="D35" s="141">
        <v>472</v>
      </c>
      <c r="E35" s="141">
        <v>12.584374999999852</v>
      </c>
      <c r="F35" s="141">
        <f t="shared" si="0"/>
        <v>0.16458333333333336</v>
      </c>
      <c r="G35" s="141">
        <f t="shared" si="1"/>
        <v>0</v>
      </c>
    </row>
    <row r="36" spans="1:7">
      <c r="A36" s="34">
        <v>43618</v>
      </c>
      <c r="D36" s="141">
        <v>271</v>
      </c>
      <c r="E36" s="141">
        <v>22.068965517241569</v>
      </c>
      <c r="F36" s="141">
        <f t="shared" si="0"/>
        <v>-6.0632183908045978E-2</v>
      </c>
      <c r="G36" s="141">
        <f t="shared" si="1"/>
        <v>0</v>
      </c>
    </row>
    <row r="37" spans="1:7">
      <c r="A37" s="34">
        <v>43647</v>
      </c>
    </row>
    <row r="38" spans="1:7">
      <c r="A38" s="34"/>
    </row>
    <row r="39" spans="1:7">
      <c r="A39" s="34"/>
    </row>
    <row r="40" spans="1:7">
      <c r="A40" s="34"/>
    </row>
    <row r="41" spans="1:7">
      <c r="A41" s="34"/>
    </row>
    <row r="42" spans="1:7">
      <c r="A42" s="34"/>
    </row>
    <row r="43" spans="1:7">
      <c r="A43" s="34"/>
    </row>
    <row r="44" spans="1:7">
      <c r="A44" s="34"/>
    </row>
    <row r="45" spans="1:7">
      <c r="A45" s="34"/>
    </row>
    <row r="46" spans="1:7">
      <c r="A46" s="34"/>
    </row>
    <row r="47" spans="1:7">
      <c r="A47" s="34"/>
    </row>
    <row r="48" spans="1:7">
      <c r="A48" s="34"/>
    </row>
    <row r="49" spans="1:1">
      <c r="A49" s="34"/>
    </row>
  </sheetData>
  <hyperlinks>
    <hyperlink ref="A1" r:id="rId1" location="text11"/>
    <hyperlink ref="I1" r:id="rId2"/>
  </hyperlinks>
  <pageMargins left="0.7" right="0.7" top="0.78740157499999996" bottom="0.78740157499999996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E362"/>
  <sheetViews>
    <sheetView topLeftCell="A7" workbookViewId="0">
      <selection activeCell="M13" sqref="M13"/>
    </sheetView>
  </sheetViews>
  <sheetFormatPr defaultColWidth="4.7109375" defaultRowHeight="15"/>
  <cols>
    <col min="1" max="8" width="4.7109375" style="38"/>
    <col min="9" max="9" width="11.42578125" style="38" customWidth="1"/>
    <col min="10" max="10" width="8.5703125" style="38" customWidth="1"/>
    <col min="11" max="11" width="4.7109375" style="38"/>
    <col min="12" max="13" width="8.5703125" style="38" customWidth="1"/>
    <col min="14" max="27" width="4.7109375" style="38"/>
    <col min="28" max="28" width="5" style="38" bestFit="1" customWidth="1"/>
    <col min="29" max="16384" width="4.7109375" style="38"/>
  </cols>
  <sheetData>
    <row r="1" spans="1:31">
      <c r="A1" s="38" t="s">
        <v>114</v>
      </c>
      <c r="B1" s="38">
        <v>2015</v>
      </c>
      <c r="C1" s="38">
        <v>2016</v>
      </c>
      <c r="D1" s="38">
        <v>2017</v>
      </c>
      <c r="G1" s="38">
        <v>2015</v>
      </c>
      <c r="H1" s="38">
        <v>1</v>
      </c>
      <c r="I1" s="39">
        <v>42008</v>
      </c>
      <c r="J1" s="38" t="s">
        <v>113</v>
      </c>
    </row>
    <row r="2" spans="1:31">
      <c r="A2" s="38">
        <v>39</v>
      </c>
      <c r="B2" s="38">
        <v>11</v>
      </c>
      <c r="C2" s="38">
        <v>4</v>
      </c>
      <c r="D2" s="38">
        <v>10</v>
      </c>
      <c r="H2" s="38">
        <v>2</v>
      </c>
      <c r="I2" s="39">
        <v>42015</v>
      </c>
      <c r="M2" s="19" t="s">
        <v>112</v>
      </c>
    </row>
    <row r="3" spans="1:31">
      <c r="A3" s="38">
        <v>40</v>
      </c>
      <c r="B3" s="38">
        <v>25</v>
      </c>
      <c r="C3" s="38">
        <v>18</v>
      </c>
      <c r="D3" s="38">
        <v>14</v>
      </c>
      <c r="H3" s="38">
        <v>3</v>
      </c>
      <c r="I3" s="39">
        <v>42022</v>
      </c>
    </row>
    <row r="4" spans="1:31">
      <c r="A4" s="38">
        <v>41</v>
      </c>
      <c r="B4" s="38">
        <v>20</v>
      </c>
      <c r="C4" s="38">
        <v>23</v>
      </c>
      <c r="D4" s="38">
        <v>9</v>
      </c>
      <c r="H4" s="38">
        <v>4</v>
      </c>
      <c r="I4" s="39">
        <v>42029</v>
      </c>
      <c r="M4" s="38" t="s">
        <v>111</v>
      </c>
    </row>
    <row r="5" spans="1:31">
      <c r="A5" s="38">
        <v>42</v>
      </c>
      <c r="B5" s="38">
        <v>34</v>
      </c>
      <c r="C5" s="38">
        <v>29</v>
      </c>
      <c r="D5" s="38">
        <v>10</v>
      </c>
      <c r="H5" s="38">
        <v>5</v>
      </c>
      <c r="I5" s="39">
        <v>42036</v>
      </c>
      <c r="M5" s="38" t="s">
        <v>110</v>
      </c>
    </row>
    <row r="6" spans="1:31">
      <c r="A6" s="38">
        <v>43</v>
      </c>
      <c r="B6" s="38">
        <v>41</v>
      </c>
      <c r="C6" s="38">
        <v>28</v>
      </c>
      <c r="D6" s="38">
        <v>11</v>
      </c>
      <c r="H6" s="38">
        <v>6</v>
      </c>
      <c r="I6" s="39">
        <v>42043</v>
      </c>
      <c r="AB6" s="46" t="s">
        <v>232</v>
      </c>
    </row>
    <row r="7" spans="1:31">
      <c r="A7" s="38">
        <v>44</v>
      </c>
      <c r="B7" s="38">
        <v>31</v>
      </c>
      <c r="C7" s="38">
        <v>33</v>
      </c>
      <c r="D7" s="38">
        <v>23</v>
      </c>
      <c r="H7" s="38">
        <v>7</v>
      </c>
      <c r="I7" s="39">
        <v>42050</v>
      </c>
      <c r="K7" s="37" t="s">
        <v>127</v>
      </c>
      <c r="AB7" s="46" t="s">
        <v>3</v>
      </c>
      <c r="AC7" s="46"/>
      <c r="AD7" s="46" t="s">
        <v>65</v>
      </c>
    </row>
    <row r="8" spans="1:31">
      <c r="A8" s="38">
        <v>45</v>
      </c>
      <c r="B8" s="38">
        <v>31</v>
      </c>
      <c r="C8" s="38">
        <v>56</v>
      </c>
      <c r="D8" s="38">
        <v>17</v>
      </c>
      <c r="H8" s="38">
        <v>8</v>
      </c>
      <c r="I8" s="39">
        <v>42057</v>
      </c>
      <c r="K8" s="37" t="s">
        <v>128</v>
      </c>
      <c r="AB8" s="38">
        <f>SUM(K39:K70)</f>
        <v>1301</v>
      </c>
      <c r="AC8" s="38">
        <v>0.75</v>
      </c>
      <c r="AD8" s="38">
        <v>4.8</v>
      </c>
      <c r="AE8" s="37">
        <f>AB8*10.7*AC8/AD8/24</f>
        <v>90.629557291666671</v>
      </c>
    </row>
    <row r="9" spans="1:31">
      <c r="A9" s="38">
        <v>46</v>
      </c>
      <c r="B9" s="38">
        <v>40</v>
      </c>
      <c r="C9" s="38">
        <v>41</v>
      </c>
      <c r="D9" s="38">
        <v>21</v>
      </c>
      <c r="H9" s="38">
        <v>9</v>
      </c>
      <c r="I9" s="39">
        <v>42064</v>
      </c>
      <c r="K9" s="37" t="s">
        <v>109</v>
      </c>
      <c r="AB9" s="38">
        <f>SUM(K91:K122)</f>
        <v>1432</v>
      </c>
      <c r="AC9" s="38">
        <v>0.75</v>
      </c>
      <c r="AD9" s="38">
        <v>4.8</v>
      </c>
      <c r="AE9" s="37">
        <f>AB9*10.7*AC9/AD9/24</f>
        <v>99.755208333333329</v>
      </c>
    </row>
    <row r="10" spans="1:31">
      <c r="A10" s="38">
        <v>47</v>
      </c>
      <c r="B10" s="38">
        <v>38</v>
      </c>
      <c r="C10" s="38">
        <v>34</v>
      </c>
      <c r="D10" s="38">
        <v>12</v>
      </c>
      <c r="H10" s="38">
        <v>10</v>
      </c>
      <c r="I10" s="39">
        <v>42071</v>
      </c>
      <c r="R10" s="38" t="s">
        <v>115</v>
      </c>
      <c r="AB10" s="38">
        <f>SUM(K144:K174)</f>
        <v>967</v>
      </c>
      <c r="AC10" s="38">
        <v>0.75</v>
      </c>
      <c r="AD10" s="38">
        <v>3</v>
      </c>
      <c r="AE10" s="37">
        <f>AB10*10.7*AC10/AD10/24</f>
        <v>107.78020833333333</v>
      </c>
    </row>
    <row r="11" spans="1:31">
      <c r="A11" s="38">
        <v>48</v>
      </c>
      <c r="B11" s="38">
        <v>62</v>
      </c>
      <c r="C11" s="38">
        <v>58</v>
      </c>
      <c r="D11" s="38">
        <v>24</v>
      </c>
      <c r="H11" s="38">
        <v>11</v>
      </c>
      <c r="I11" s="39">
        <v>42078</v>
      </c>
      <c r="P11" s="38" t="s">
        <v>104</v>
      </c>
      <c r="R11" s="38" t="s">
        <v>116</v>
      </c>
    </row>
    <row r="12" spans="1:31">
      <c r="A12" s="38">
        <v>49</v>
      </c>
      <c r="B12" s="38">
        <v>45</v>
      </c>
      <c r="C12" s="38">
        <v>42</v>
      </c>
      <c r="D12" s="38">
        <v>36</v>
      </c>
      <c r="H12" s="38">
        <v>12</v>
      </c>
      <c r="I12" s="39">
        <v>42085</v>
      </c>
      <c r="M12" s="2">
        <v>5</v>
      </c>
      <c r="N12" s="38" t="s">
        <v>108</v>
      </c>
      <c r="O12" s="38" t="s">
        <v>29</v>
      </c>
      <c r="P12" s="38">
        <v>6.5</v>
      </c>
      <c r="R12" s="38" t="s">
        <v>117</v>
      </c>
    </row>
    <row r="13" spans="1:31">
      <c r="A13" s="38">
        <v>50</v>
      </c>
      <c r="B13" s="38">
        <v>49</v>
      </c>
      <c r="C13" s="38">
        <v>50</v>
      </c>
      <c r="D13" s="38">
        <v>47</v>
      </c>
      <c r="H13" s="38">
        <v>13</v>
      </c>
      <c r="I13" s="39">
        <v>42092</v>
      </c>
      <c r="L13" s="2">
        <v>0.75</v>
      </c>
      <c r="M13" s="2">
        <v>17</v>
      </c>
      <c r="N13" s="38" t="s">
        <v>107</v>
      </c>
      <c r="O13" s="38" t="s">
        <v>30</v>
      </c>
      <c r="P13" s="38">
        <v>5.5</v>
      </c>
      <c r="R13" s="38" t="s">
        <v>118</v>
      </c>
    </row>
    <row r="14" spans="1:31">
      <c r="A14" s="38">
        <v>51</v>
      </c>
      <c r="B14" s="38">
        <v>45</v>
      </c>
      <c r="C14" s="38">
        <v>51</v>
      </c>
      <c r="D14" s="38">
        <v>41</v>
      </c>
      <c r="H14" s="38">
        <v>14</v>
      </c>
      <c r="I14" s="39">
        <v>42099</v>
      </c>
      <c r="J14" s="38" t="s">
        <v>106</v>
      </c>
      <c r="L14" s="38" t="s">
        <v>105</v>
      </c>
      <c r="M14" s="38" t="s">
        <v>104</v>
      </c>
      <c r="O14" s="38" t="s">
        <v>31</v>
      </c>
      <c r="P14" s="38">
        <v>4.5</v>
      </c>
      <c r="R14" s="38" t="s">
        <v>119</v>
      </c>
    </row>
    <row r="15" spans="1:31">
      <c r="A15" s="38">
        <v>52</v>
      </c>
      <c r="B15" s="38">
        <v>47</v>
      </c>
      <c r="C15" s="38">
        <v>55</v>
      </c>
      <c r="D15" s="38">
        <v>40</v>
      </c>
      <c r="H15" s="38">
        <v>15</v>
      </c>
      <c r="I15" s="39">
        <v>42106</v>
      </c>
      <c r="J15" s="38">
        <v>8.3857142857142861</v>
      </c>
      <c r="L15" s="38">
        <f>K15*10.7/24/7*L$13</f>
        <v>0</v>
      </c>
      <c r="M15" s="38">
        <f t="shared" ref="M15:M46" si="0">(M$13-J15)*M$12/30</f>
        <v>1.4357142857142857</v>
      </c>
    </row>
    <row r="16" spans="1:31">
      <c r="A16" s="38">
        <v>53</v>
      </c>
      <c r="B16" s="38">
        <v>65</v>
      </c>
      <c r="C16" s="38">
        <v>51</v>
      </c>
      <c r="D16" s="38">
        <v>46</v>
      </c>
      <c r="H16" s="38">
        <v>16</v>
      </c>
      <c r="I16" s="39">
        <v>42113</v>
      </c>
      <c r="J16" s="38">
        <v>10.357142857142858</v>
      </c>
      <c r="L16" s="38">
        <f t="shared" ref="L16:L79" si="1">K16*10.7/24/7*L$13</f>
        <v>0</v>
      </c>
      <c r="M16" s="38">
        <f t="shared" si="0"/>
        <v>1.107142857142857</v>
      </c>
      <c r="R16" s="38" t="s">
        <v>120</v>
      </c>
    </row>
    <row r="17" spans="1:18">
      <c r="A17" s="38">
        <v>1</v>
      </c>
      <c r="B17" s="38">
        <v>78</v>
      </c>
      <c r="C17" s="38">
        <v>84</v>
      </c>
      <c r="D17" s="38">
        <v>33</v>
      </c>
      <c r="H17" s="38">
        <v>17</v>
      </c>
      <c r="I17" s="39">
        <v>42120</v>
      </c>
      <c r="J17" s="38">
        <v>12.399999999999993</v>
      </c>
      <c r="L17" s="38">
        <f t="shared" si="1"/>
        <v>0</v>
      </c>
      <c r="M17" s="38">
        <f t="shared" si="0"/>
        <v>0.76666666666666783</v>
      </c>
      <c r="R17" s="38" t="s">
        <v>121</v>
      </c>
    </row>
    <row r="18" spans="1:18">
      <c r="A18" s="38">
        <v>2</v>
      </c>
      <c r="B18" s="38">
        <v>58</v>
      </c>
      <c r="C18" s="38">
        <v>59</v>
      </c>
      <c r="D18" s="38">
        <v>32</v>
      </c>
      <c r="H18" s="38">
        <v>18</v>
      </c>
      <c r="I18" s="39">
        <v>42127</v>
      </c>
      <c r="J18" s="38">
        <v>9.8571428571428577</v>
      </c>
      <c r="L18" s="38">
        <f t="shared" si="1"/>
        <v>0</v>
      </c>
      <c r="M18" s="38">
        <f t="shared" si="0"/>
        <v>1.1904761904761902</v>
      </c>
      <c r="R18" s="38" t="s">
        <v>122</v>
      </c>
    </row>
    <row r="19" spans="1:18">
      <c r="A19" s="38">
        <v>3</v>
      </c>
      <c r="B19" s="38">
        <v>58</v>
      </c>
      <c r="C19" s="38">
        <v>101</v>
      </c>
      <c r="D19" s="38">
        <v>50</v>
      </c>
      <c r="H19" s="38">
        <v>19</v>
      </c>
      <c r="I19" s="39">
        <v>42134</v>
      </c>
      <c r="J19" s="38">
        <v>14.585714285714289</v>
      </c>
      <c r="L19" s="38">
        <f t="shared" si="1"/>
        <v>0</v>
      </c>
      <c r="M19" s="38">
        <f t="shared" si="0"/>
        <v>0.40238095238095184</v>
      </c>
      <c r="R19" s="38" t="s">
        <v>123</v>
      </c>
    </row>
    <row r="20" spans="1:18">
      <c r="A20" s="38">
        <v>4</v>
      </c>
      <c r="B20" s="38">
        <v>84</v>
      </c>
      <c r="C20" s="38">
        <v>48</v>
      </c>
      <c r="D20" s="38">
        <v>30</v>
      </c>
      <c r="H20" s="38">
        <v>20</v>
      </c>
      <c r="I20" s="39">
        <v>42141</v>
      </c>
      <c r="J20" s="38">
        <v>13.3857142857143</v>
      </c>
      <c r="L20" s="38">
        <f t="shared" si="1"/>
        <v>0</v>
      </c>
      <c r="M20" s="38">
        <f t="shared" si="0"/>
        <v>0.60238095238094991</v>
      </c>
      <c r="R20" s="38" t="s">
        <v>124</v>
      </c>
    </row>
    <row r="21" spans="1:18">
      <c r="A21" s="38">
        <v>5</v>
      </c>
      <c r="B21" s="38">
        <v>68</v>
      </c>
      <c r="C21" s="38">
        <v>46</v>
      </c>
      <c r="D21" s="38">
        <v>48</v>
      </c>
      <c r="H21" s="38">
        <v>21</v>
      </c>
      <c r="I21" s="39">
        <v>42148</v>
      </c>
      <c r="J21" s="38">
        <v>13.385714285714316</v>
      </c>
      <c r="L21" s="38">
        <f t="shared" si="1"/>
        <v>0</v>
      </c>
      <c r="M21" s="38">
        <f t="shared" si="0"/>
        <v>0.60238095238094735</v>
      </c>
    </row>
    <row r="22" spans="1:18">
      <c r="A22" s="38">
        <v>6</v>
      </c>
      <c r="B22" s="38">
        <v>53</v>
      </c>
      <c r="C22" s="38">
        <v>48</v>
      </c>
      <c r="D22" s="38">
        <v>55</v>
      </c>
      <c r="H22" s="38">
        <v>22</v>
      </c>
      <c r="I22" s="39">
        <v>42155</v>
      </c>
      <c r="J22" s="38">
        <v>13.814285714285704</v>
      </c>
      <c r="L22" s="38">
        <f t="shared" si="1"/>
        <v>0</v>
      </c>
      <c r="M22" s="38">
        <f t="shared" si="0"/>
        <v>0.53095238095238262</v>
      </c>
      <c r="R22" s="38" t="s">
        <v>125</v>
      </c>
    </row>
    <row r="23" spans="1:18">
      <c r="A23" s="38">
        <v>7</v>
      </c>
      <c r="B23" s="38">
        <v>53</v>
      </c>
      <c r="C23" s="38">
        <v>61</v>
      </c>
      <c r="D23" s="38">
        <v>44</v>
      </c>
      <c r="H23" s="38">
        <v>23</v>
      </c>
      <c r="I23" s="39">
        <v>42162</v>
      </c>
      <c r="J23" s="38">
        <v>19.928571428571427</v>
      </c>
      <c r="L23" s="38">
        <f t="shared" si="1"/>
        <v>0</v>
      </c>
      <c r="M23" s="38">
        <f t="shared" si="0"/>
        <v>-0.48809523809523786</v>
      </c>
    </row>
    <row r="24" spans="1:18">
      <c r="A24" s="38">
        <v>8</v>
      </c>
      <c r="B24" s="38">
        <v>41</v>
      </c>
      <c r="C24" s="38">
        <v>61</v>
      </c>
      <c r="D24" s="38">
        <v>56</v>
      </c>
      <c r="H24" s="38">
        <v>24</v>
      </c>
      <c r="I24" s="39">
        <v>42169</v>
      </c>
      <c r="J24" s="38">
        <v>17.414285714285743</v>
      </c>
      <c r="L24" s="38">
        <f t="shared" si="1"/>
        <v>0</v>
      </c>
      <c r="M24" s="38">
        <f t="shared" si="0"/>
        <v>-6.904761904762384E-2</v>
      </c>
      <c r="R24" s="38" t="s">
        <v>126</v>
      </c>
    </row>
    <row r="25" spans="1:18">
      <c r="A25" s="38">
        <v>9</v>
      </c>
      <c r="B25" s="38">
        <v>34</v>
      </c>
      <c r="C25" s="38">
        <v>64</v>
      </c>
      <c r="D25" s="38">
        <v>41</v>
      </c>
      <c r="H25" s="38">
        <v>25</v>
      </c>
      <c r="I25" s="39">
        <v>42176</v>
      </c>
      <c r="J25" s="38">
        <v>14.214285714285698</v>
      </c>
      <c r="L25" s="38">
        <f t="shared" si="1"/>
        <v>0</v>
      </c>
      <c r="M25" s="38">
        <f t="shared" si="0"/>
        <v>0.46428571428571708</v>
      </c>
    </row>
    <row r="26" spans="1:18">
      <c r="A26" s="38">
        <v>10</v>
      </c>
      <c r="B26" s="38">
        <v>35</v>
      </c>
      <c r="C26" s="38">
        <v>59</v>
      </c>
      <c r="D26" s="38">
        <v>36</v>
      </c>
      <c r="H26" s="38">
        <v>26</v>
      </c>
      <c r="I26" s="39">
        <v>42183</v>
      </c>
      <c r="J26" s="38">
        <v>15.728571428571415</v>
      </c>
      <c r="L26" s="38">
        <f t="shared" si="1"/>
        <v>0</v>
      </c>
      <c r="M26" s="38">
        <f t="shared" si="0"/>
        <v>0.21190476190476412</v>
      </c>
    </row>
    <row r="27" spans="1:18">
      <c r="A27" s="38">
        <v>11</v>
      </c>
      <c r="B27" s="38">
        <v>22</v>
      </c>
      <c r="C27" s="38">
        <v>59</v>
      </c>
      <c r="D27" s="38">
        <v>40</v>
      </c>
      <c r="H27" s="38">
        <v>27</v>
      </c>
      <c r="I27" s="39">
        <v>42190</v>
      </c>
      <c r="J27" s="38">
        <v>22.728571428571417</v>
      </c>
      <c r="L27" s="38">
        <f t="shared" si="1"/>
        <v>0</v>
      </c>
      <c r="M27" s="38">
        <f t="shared" si="0"/>
        <v>-0.95476190476190281</v>
      </c>
    </row>
    <row r="28" spans="1:18">
      <c r="A28" s="38">
        <v>12</v>
      </c>
      <c r="B28" s="38">
        <v>31</v>
      </c>
      <c r="C28" s="38">
        <v>39</v>
      </c>
      <c r="D28" s="38">
        <v>37</v>
      </c>
      <c r="H28" s="38">
        <v>28</v>
      </c>
      <c r="I28" s="39">
        <v>42197</v>
      </c>
      <c r="J28" s="38">
        <v>20.014285714285734</v>
      </c>
      <c r="L28" s="38">
        <f t="shared" si="1"/>
        <v>0</v>
      </c>
      <c r="M28" s="38">
        <f t="shared" si="0"/>
        <v>-0.50238095238095559</v>
      </c>
    </row>
    <row r="29" spans="1:18">
      <c r="A29" s="38">
        <v>13</v>
      </c>
      <c r="B29" s="38">
        <v>15</v>
      </c>
      <c r="C29" s="38">
        <v>26</v>
      </c>
      <c r="D29" s="38">
        <v>50</v>
      </c>
      <c r="H29" s="38">
        <v>29</v>
      </c>
      <c r="I29" s="39">
        <v>42204</v>
      </c>
      <c r="J29" s="38">
        <v>22.171428571428546</v>
      </c>
      <c r="L29" s="38">
        <f t="shared" si="1"/>
        <v>0</v>
      </c>
      <c r="M29" s="38">
        <f t="shared" si="0"/>
        <v>-0.86190476190475762</v>
      </c>
    </row>
    <row r="30" spans="1:18">
      <c r="A30" s="38">
        <v>14</v>
      </c>
      <c r="B30" s="38">
        <v>19</v>
      </c>
      <c r="C30" s="38">
        <v>19</v>
      </c>
      <c r="D30" s="38">
        <v>26</v>
      </c>
      <c r="H30" s="38">
        <v>30</v>
      </c>
      <c r="I30" s="39">
        <v>42211</v>
      </c>
      <c r="J30" s="38">
        <v>22.81428571428572</v>
      </c>
      <c r="L30" s="38">
        <f t="shared" si="1"/>
        <v>0</v>
      </c>
      <c r="M30" s="38">
        <f t="shared" si="0"/>
        <v>-0.96904761904762005</v>
      </c>
    </row>
    <row r="31" spans="1:18">
      <c r="A31" s="38">
        <v>15</v>
      </c>
      <c r="B31" s="38">
        <v>13</v>
      </c>
      <c r="C31" s="38">
        <v>19</v>
      </c>
      <c r="D31" s="38">
        <v>14</v>
      </c>
      <c r="H31" s="38">
        <v>31</v>
      </c>
      <c r="I31" s="39">
        <v>42218</v>
      </c>
      <c r="J31" s="38">
        <v>18.214285714285715</v>
      </c>
      <c r="L31" s="38">
        <f t="shared" si="1"/>
        <v>0</v>
      </c>
      <c r="M31" s="38">
        <f t="shared" si="0"/>
        <v>-0.20238095238095255</v>
      </c>
    </row>
    <row r="32" spans="1:18">
      <c r="A32" s="38">
        <v>16</v>
      </c>
      <c r="B32" s="38">
        <v>32</v>
      </c>
      <c r="C32" s="38">
        <v>29</v>
      </c>
      <c r="D32" s="38">
        <v>14</v>
      </c>
      <c r="H32" s="38">
        <v>32</v>
      </c>
      <c r="I32" s="39">
        <v>42225</v>
      </c>
      <c r="J32" s="38">
        <v>25.471428571428564</v>
      </c>
      <c r="L32" s="38">
        <f t="shared" si="1"/>
        <v>0</v>
      </c>
      <c r="M32" s="38">
        <f t="shared" si="0"/>
        <v>-1.4119047619047607</v>
      </c>
    </row>
    <row r="33" spans="1:13">
      <c r="A33" s="38">
        <v>17</v>
      </c>
      <c r="B33" s="38">
        <v>23</v>
      </c>
      <c r="C33" s="38">
        <v>37</v>
      </c>
      <c r="H33" s="38">
        <v>33</v>
      </c>
      <c r="I33" s="39">
        <v>42232</v>
      </c>
      <c r="J33" s="38">
        <v>25.400000000000027</v>
      </c>
      <c r="L33" s="38">
        <f t="shared" si="1"/>
        <v>0</v>
      </c>
      <c r="M33" s="38">
        <f t="shared" si="0"/>
        <v>-1.4000000000000046</v>
      </c>
    </row>
    <row r="34" spans="1:13">
      <c r="H34" s="38">
        <v>34</v>
      </c>
      <c r="I34" s="39">
        <v>42239</v>
      </c>
      <c r="J34" s="38">
        <v>17.228571428571481</v>
      </c>
      <c r="L34" s="38">
        <f t="shared" si="1"/>
        <v>0</v>
      </c>
      <c r="M34" s="38">
        <f t="shared" si="0"/>
        <v>-3.8095238095246842E-2</v>
      </c>
    </row>
    <row r="35" spans="1:13">
      <c r="A35" s="38" t="s">
        <v>103</v>
      </c>
      <c r="B35" s="38">
        <f>SUM(B2:B33)*10.7/1000</f>
        <v>13.920699999999998</v>
      </c>
      <c r="C35" s="38">
        <f>SUM(C2:C33)*10.7/1000</f>
        <v>15.3224</v>
      </c>
      <c r="D35" s="38">
        <f>SUM(D2:D33)*10.7/1000</f>
        <v>10.3469</v>
      </c>
      <c r="H35" s="38">
        <v>35</v>
      </c>
      <c r="I35" s="39">
        <v>42246</v>
      </c>
      <c r="J35" s="38">
        <v>21.200000000000014</v>
      </c>
      <c r="L35" s="38">
        <f t="shared" si="1"/>
        <v>0</v>
      </c>
      <c r="M35" s="38">
        <f t="shared" si="0"/>
        <v>-0.70000000000000229</v>
      </c>
    </row>
    <row r="36" spans="1:13">
      <c r="A36" s="38" t="s">
        <v>102</v>
      </c>
      <c r="C36" s="38">
        <f>(B38+C37)*10.7/1000</f>
        <v>13.802999999999999</v>
      </c>
      <c r="D36" s="38">
        <f>(C38+D37)*10.7/1000</f>
        <v>13.054</v>
      </c>
      <c r="H36" s="38">
        <v>36</v>
      </c>
      <c r="I36" s="39">
        <v>42253</v>
      </c>
      <c r="J36" s="38">
        <v>18.285714285714416</v>
      </c>
      <c r="L36" s="38">
        <f t="shared" si="1"/>
        <v>0</v>
      </c>
      <c r="M36" s="38">
        <f t="shared" si="0"/>
        <v>-0.21428571428573603</v>
      </c>
    </row>
    <row r="37" spans="1:13">
      <c r="B37" s="38">
        <f>SUM(B2:B16)</f>
        <v>584</v>
      </c>
      <c r="C37" s="38">
        <f>SUM(C2:C16)</f>
        <v>573</v>
      </c>
      <c r="D37" s="38">
        <f>SUM(D2:D16)</f>
        <v>361</v>
      </c>
      <c r="H37" s="38">
        <v>37</v>
      </c>
      <c r="I37" s="39">
        <v>42260</v>
      </c>
      <c r="J37" s="38">
        <v>13.642857142857078</v>
      </c>
      <c r="L37" s="38">
        <f t="shared" si="1"/>
        <v>0</v>
      </c>
      <c r="M37" s="38">
        <f t="shared" si="0"/>
        <v>0.5595238095238203</v>
      </c>
    </row>
    <row r="38" spans="1:13">
      <c r="B38" s="38">
        <f>SUM(B17:B33)</f>
        <v>717</v>
      </c>
      <c r="C38" s="38">
        <f>SUM(C17:C33)</f>
        <v>859</v>
      </c>
      <c r="D38" s="38">
        <f>SUM(D17:D33)</f>
        <v>606</v>
      </c>
      <c r="H38" s="38">
        <v>38</v>
      </c>
      <c r="I38" s="39">
        <v>42267</v>
      </c>
      <c r="J38" s="38">
        <v>16.585714285714271</v>
      </c>
      <c r="L38" s="38">
        <f t="shared" si="1"/>
        <v>0</v>
      </c>
      <c r="M38" s="38">
        <f t="shared" si="0"/>
        <v>6.9047619047621467E-2</v>
      </c>
    </row>
    <row r="39" spans="1:13">
      <c r="H39" s="38">
        <v>39</v>
      </c>
      <c r="I39" s="39">
        <v>42274</v>
      </c>
      <c r="J39" s="38">
        <v>13.157142857142844</v>
      </c>
      <c r="K39" s="38">
        <v>11</v>
      </c>
      <c r="L39" s="38">
        <f t="shared" si="1"/>
        <v>0.52544642857142843</v>
      </c>
      <c r="M39" s="38">
        <f t="shared" si="0"/>
        <v>0.64047619047619264</v>
      </c>
    </row>
    <row r="40" spans="1:13">
      <c r="A40" s="38">
        <v>2014</v>
      </c>
      <c r="B40" s="38">
        <v>13.5</v>
      </c>
      <c r="H40" s="38">
        <v>40</v>
      </c>
      <c r="I40" s="39">
        <v>42281</v>
      </c>
      <c r="J40" s="38">
        <v>11.228571428571545</v>
      </c>
      <c r="K40" s="38">
        <v>25</v>
      </c>
      <c r="L40" s="38">
        <f t="shared" si="1"/>
        <v>1.1941964285714286</v>
      </c>
      <c r="M40" s="38">
        <f t="shared" si="0"/>
        <v>0.9619047619047425</v>
      </c>
    </row>
    <row r="41" spans="1:13">
      <c r="A41" s="38">
        <v>2015</v>
      </c>
      <c r="B41" s="38">
        <v>17.91</v>
      </c>
      <c r="H41" s="38">
        <v>41</v>
      </c>
      <c r="I41" s="39">
        <v>42288</v>
      </c>
      <c r="J41" s="38">
        <v>11.314285714285688</v>
      </c>
      <c r="K41" s="38">
        <v>20</v>
      </c>
      <c r="L41" s="38">
        <f t="shared" si="1"/>
        <v>0.95535714285714279</v>
      </c>
      <c r="M41" s="38">
        <f t="shared" si="0"/>
        <v>0.94761904761905191</v>
      </c>
    </row>
    <row r="42" spans="1:13">
      <c r="A42" s="38">
        <v>2016</v>
      </c>
      <c r="B42" s="38">
        <v>17.18</v>
      </c>
      <c r="H42" s="38">
        <v>42</v>
      </c>
      <c r="I42" s="39">
        <v>42295</v>
      </c>
      <c r="J42" s="38">
        <v>5.4571428571428315</v>
      </c>
      <c r="K42" s="38">
        <v>34</v>
      </c>
      <c r="L42" s="38">
        <f t="shared" si="1"/>
        <v>1.6241071428571427</v>
      </c>
      <c r="M42" s="38">
        <f t="shared" si="0"/>
        <v>1.9238095238095283</v>
      </c>
    </row>
    <row r="43" spans="1:13">
      <c r="A43" s="38">
        <v>2017</v>
      </c>
      <c r="B43" s="38">
        <v>12</v>
      </c>
      <c r="H43" s="38">
        <v>43</v>
      </c>
      <c r="I43" s="39">
        <v>42302</v>
      </c>
      <c r="J43" s="38">
        <v>7.8142857142857531</v>
      </c>
      <c r="K43" s="38">
        <v>41</v>
      </c>
      <c r="L43" s="38">
        <f t="shared" si="1"/>
        <v>1.9584821428571426</v>
      </c>
      <c r="M43" s="38">
        <f t="shared" si="0"/>
        <v>1.5309523809523746</v>
      </c>
    </row>
    <row r="44" spans="1:13">
      <c r="A44" s="38">
        <v>2018</v>
      </c>
      <c r="B44" s="38">
        <v>10</v>
      </c>
      <c r="H44" s="38">
        <v>44</v>
      </c>
      <c r="I44" s="39">
        <v>42309</v>
      </c>
      <c r="J44" s="38">
        <v>8.4571428571428306</v>
      </c>
      <c r="K44" s="38">
        <v>31</v>
      </c>
      <c r="L44" s="38">
        <f t="shared" si="1"/>
        <v>1.4808035714285714</v>
      </c>
      <c r="M44" s="38">
        <f t="shared" si="0"/>
        <v>1.4238095238095283</v>
      </c>
    </row>
    <row r="45" spans="1:13">
      <c r="H45" s="38">
        <v>45</v>
      </c>
      <c r="I45" s="39">
        <v>42316</v>
      </c>
      <c r="J45" s="38">
        <v>7.0285714285713379</v>
      </c>
      <c r="K45" s="38">
        <v>31</v>
      </c>
      <c r="L45" s="38">
        <f t="shared" si="1"/>
        <v>1.4808035714285714</v>
      </c>
      <c r="M45" s="38">
        <f t="shared" si="0"/>
        <v>1.6619047619047769</v>
      </c>
    </row>
    <row r="46" spans="1:13">
      <c r="H46" s="38">
        <v>46</v>
      </c>
      <c r="I46" s="39">
        <v>42323</v>
      </c>
      <c r="J46" s="38">
        <v>10.914285714285663</v>
      </c>
      <c r="K46" s="38">
        <v>40</v>
      </c>
      <c r="L46" s="38">
        <f t="shared" si="1"/>
        <v>1.9107142857142856</v>
      </c>
      <c r="M46" s="38">
        <f t="shared" si="0"/>
        <v>1.0142857142857229</v>
      </c>
    </row>
    <row r="47" spans="1:13">
      <c r="H47" s="38">
        <v>47</v>
      </c>
      <c r="I47" s="39">
        <v>42330</v>
      </c>
      <c r="J47" s="38">
        <v>8.1999999999998838</v>
      </c>
      <c r="K47" s="38">
        <v>38</v>
      </c>
      <c r="L47" s="38">
        <f t="shared" si="1"/>
        <v>1.8151785714285713</v>
      </c>
      <c r="M47" s="38">
        <f t="shared" ref="M47:M78" si="2">(M$13-J47)*M$12/30</f>
        <v>1.4666666666666861</v>
      </c>
    </row>
    <row r="48" spans="1:13">
      <c r="H48" s="38">
        <v>48</v>
      </c>
      <c r="I48" s="39">
        <v>42337</v>
      </c>
      <c r="J48" s="38">
        <v>1.2857142857142858</v>
      </c>
      <c r="K48" s="38">
        <v>62</v>
      </c>
      <c r="L48" s="38">
        <f t="shared" si="1"/>
        <v>2.9616071428571429</v>
      </c>
      <c r="M48" s="38">
        <f t="shared" si="2"/>
        <v>2.6190476190476191</v>
      </c>
    </row>
    <row r="49" spans="8:13">
      <c r="H49" s="38">
        <v>49</v>
      </c>
      <c r="I49" s="39">
        <v>42344</v>
      </c>
      <c r="J49" s="38">
        <v>6.257142857142818</v>
      </c>
      <c r="K49" s="38">
        <v>45</v>
      </c>
      <c r="L49" s="38">
        <f t="shared" si="1"/>
        <v>2.1495535714285712</v>
      </c>
      <c r="M49" s="38">
        <f t="shared" si="2"/>
        <v>1.7904761904761972</v>
      </c>
    </row>
    <row r="50" spans="8:13">
      <c r="H50" s="38">
        <v>50</v>
      </c>
      <c r="I50" s="39">
        <v>42351</v>
      </c>
      <c r="J50" s="38">
        <v>3.7857142857143509</v>
      </c>
      <c r="K50" s="38">
        <v>49</v>
      </c>
      <c r="L50" s="38">
        <f t="shared" si="1"/>
        <v>2.3406249999999997</v>
      </c>
      <c r="M50" s="38">
        <f t="shared" si="2"/>
        <v>2.2023809523809414</v>
      </c>
    </row>
    <row r="51" spans="8:13">
      <c r="H51" s="38">
        <v>51</v>
      </c>
      <c r="I51" s="39">
        <v>42358</v>
      </c>
      <c r="J51" s="38">
        <v>5.1714285714286108</v>
      </c>
      <c r="K51" s="38">
        <v>45</v>
      </c>
      <c r="L51" s="38">
        <f t="shared" si="1"/>
        <v>2.1495535714285712</v>
      </c>
      <c r="M51" s="38">
        <f t="shared" si="2"/>
        <v>1.9714285714285651</v>
      </c>
    </row>
    <row r="52" spans="8:13">
      <c r="H52" s="38">
        <v>52</v>
      </c>
      <c r="I52" s="39">
        <v>42365</v>
      </c>
      <c r="J52" s="38">
        <v>7.5142857142856361</v>
      </c>
      <c r="K52" s="38">
        <v>47</v>
      </c>
      <c r="L52" s="38">
        <f t="shared" si="1"/>
        <v>2.2450892857142857</v>
      </c>
      <c r="M52" s="38">
        <f t="shared" si="2"/>
        <v>1.580952380952394</v>
      </c>
    </row>
    <row r="53" spans="8:13">
      <c r="H53" s="38">
        <v>1</v>
      </c>
      <c r="I53" s="39">
        <v>42372</v>
      </c>
      <c r="J53" s="38">
        <v>0.2714285714286494</v>
      </c>
      <c r="K53" s="38">
        <v>65</v>
      </c>
      <c r="L53" s="38">
        <f t="shared" si="1"/>
        <v>3.1049107142857144</v>
      </c>
      <c r="M53" s="38">
        <f t="shared" si="2"/>
        <v>2.7880952380952246</v>
      </c>
    </row>
    <row r="54" spans="8:13">
      <c r="H54" s="38">
        <v>2</v>
      </c>
      <c r="I54" s="39">
        <v>42379</v>
      </c>
      <c r="J54" s="38">
        <v>-2.5428571428571041</v>
      </c>
      <c r="K54" s="38">
        <v>78</v>
      </c>
      <c r="L54" s="38">
        <f t="shared" si="1"/>
        <v>3.7258928571428571</v>
      </c>
      <c r="M54" s="38">
        <f t="shared" si="2"/>
        <v>3.2571428571428509</v>
      </c>
    </row>
    <row r="55" spans="8:13">
      <c r="H55" s="38">
        <v>3</v>
      </c>
      <c r="I55" s="39">
        <v>42386</v>
      </c>
      <c r="J55" s="38">
        <v>0.8142857142856883</v>
      </c>
      <c r="K55" s="38">
        <v>58</v>
      </c>
      <c r="L55" s="38">
        <f t="shared" si="1"/>
        <v>2.7705357142857139</v>
      </c>
      <c r="M55" s="38">
        <f t="shared" si="2"/>
        <v>2.6976190476190518</v>
      </c>
    </row>
    <row r="56" spans="8:13">
      <c r="H56" s="38">
        <v>4</v>
      </c>
      <c r="I56" s="39">
        <v>42393</v>
      </c>
      <c r="J56" s="38">
        <v>-6.0142857142856361</v>
      </c>
      <c r="K56" s="38">
        <v>58</v>
      </c>
      <c r="L56" s="38">
        <f t="shared" si="1"/>
        <v>2.7705357142857139</v>
      </c>
      <c r="M56" s="38">
        <f t="shared" si="2"/>
        <v>3.8357142857142725</v>
      </c>
    </row>
    <row r="57" spans="8:13">
      <c r="H57" s="38">
        <v>5</v>
      </c>
      <c r="I57" s="39">
        <v>42400</v>
      </c>
      <c r="J57" s="38">
        <v>6.2428571428571171</v>
      </c>
      <c r="K57" s="38">
        <v>84</v>
      </c>
      <c r="L57" s="38">
        <f t="shared" si="1"/>
        <v>4.0124999999999993</v>
      </c>
      <c r="M57" s="38">
        <f t="shared" si="2"/>
        <v>1.7928571428571471</v>
      </c>
    </row>
    <row r="58" spans="8:13">
      <c r="H58" s="38">
        <v>6</v>
      </c>
      <c r="I58" s="39">
        <v>42407</v>
      </c>
      <c r="J58" s="38">
        <v>5.257142857142818</v>
      </c>
      <c r="K58" s="38">
        <v>68</v>
      </c>
      <c r="L58" s="38">
        <f t="shared" si="1"/>
        <v>3.2482142857142855</v>
      </c>
      <c r="M58" s="38">
        <f t="shared" si="2"/>
        <v>1.9571428571428637</v>
      </c>
    </row>
    <row r="59" spans="8:13">
      <c r="H59" s="38">
        <v>7</v>
      </c>
      <c r="I59" s="39">
        <v>42414</v>
      </c>
      <c r="J59" s="38">
        <v>4.685714285714182</v>
      </c>
      <c r="K59" s="38">
        <v>53</v>
      </c>
      <c r="L59" s="38">
        <f t="shared" si="1"/>
        <v>2.5316964285714283</v>
      </c>
      <c r="M59" s="38">
        <f t="shared" si="2"/>
        <v>2.0523809523809695</v>
      </c>
    </row>
    <row r="60" spans="8:13">
      <c r="H60" s="38">
        <v>8</v>
      </c>
      <c r="I60" s="39">
        <v>42421</v>
      </c>
      <c r="J60" s="38">
        <v>3.0428571428571689</v>
      </c>
      <c r="K60" s="38">
        <v>53</v>
      </c>
      <c r="L60" s="38">
        <f t="shared" si="1"/>
        <v>2.5316964285714283</v>
      </c>
      <c r="M60" s="38">
        <f t="shared" si="2"/>
        <v>2.3261904761904715</v>
      </c>
    </row>
    <row r="61" spans="8:13">
      <c r="H61" s="38">
        <v>9</v>
      </c>
      <c r="I61" s="39">
        <v>42428</v>
      </c>
      <c r="J61" s="38">
        <v>2.1285714285715067</v>
      </c>
      <c r="K61" s="38">
        <v>41</v>
      </c>
      <c r="L61" s="38">
        <f t="shared" si="1"/>
        <v>1.9584821428571426</v>
      </c>
      <c r="M61" s="38">
        <f t="shared" si="2"/>
        <v>2.4785714285714153</v>
      </c>
    </row>
    <row r="62" spans="8:13">
      <c r="H62" s="38">
        <v>10</v>
      </c>
      <c r="I62" s="39">
        <v>42435</v>
      </c>
      <c r="J62" s="38">
        <v>2.1428571428571428</v>
      </c>
      <c r="K62" s="38">
        <v>34</v>
      </c>
      <c r="L62" s="38">
        <f t="shared" si="1"/>
        <v>1.6241071428571427</v>
      </c>
      <c r="M62" s="38">
        <f t="shared" si="2"/>
        <v>2.4761904761904763</v>
      </c>
    </row>
    <row r="63" spans="8:13">
      <c r="H63" s="38">
        <v>11</v>
      </c>
      <c r="I63" s="39">
        <v>42442</v>
      </c>
      <c r="J63" s="38">
        <v>2.4571428571427663</v>
      </c>
      <c r="K63" s="38">
        <v>35</v>
      </c>
      <c r="L63" s="38">
        <f t="shared" si="1"/>
        <v>1.671875</v>
      </c>
      <c r="M63" s="38">
        <f t="shared" si="2"/>
        <v>2.4238095238095387</v>
      </c>
    </row>
    <row r="64" spans="8:13">
      <c r="H64" s="38">
        <v>12</v>
      </c>
      <c r="I64" s="39">
        <v>42449</v>
      </c>
      <c r="J64" s="38">
        <v>3.3285714285714545</v>
      </c>
      <c r="K64" s="38">
        <v>22</v>
      </c>
      <c r="L64" s="38">
        <f t="shared" si="1"/>
        <v>1.0508928571428569</v>
      </c>
      <c r="M64" s="38">
        <f t="shared" si="2"/>
        <v>2.2785714285714245</v>
      </c>
    </row>
    <row r="65" spans="8:13">
      <c r="H65" s="38">
        <v>13</v>
      </c>
      <c r="I65" s="39">
        <v>42456</v>
      </c>
      <c r="J65" s="38">
        <v>5.657142857142909</v>
      </c>
      <c r="K65" s="38">
        <v>31</v>
      </c>
      <c r="L65" s="38">
        <f t="shared" si="1"/>
        <v>1.4808035714285714</v>
      </c>
      <c r="M65" s="38">
        <f t="shared" si="2"/>
        <v>1.890476190476182</v>
      </c>
    </row>
    <row r="66" spans="8:13">
      <c r="H66" s="38">
        <v>14</v>
      </c>
      <c r="I66" s="39">
        <v>42463</v>
      </c>
      <c r="J66" s="38">
        <v>8.4714285714285325</v>
      </c>
      <c r="K66" s="38">
        <v>15</v>
      </c>
      <c r="L66" s="38">
        <f t="shared" si="1"/>
        <v>0.71651785714285721</v>
      </c>
      <c r="M66" s="38">
        <f t="shared" si="2"/>
        <v>1.4214285714285779</v>
      </c>
    </row>
    <row r="67" spans="8:13">
      <c r="H67" s="38">
        <v>15</v>
      </c>
      <c r="I67" s="39">
        <v>42470</v>
      </c>
      <c r="J67" s="38">
        <v>11.071428571428571</v>
      </c>
      <c r="K67" s="38">
        <v>19</v>
      </c>
      <c r="L67" s="38">
        <f t="shared" si="1"/>
        <v>0.90758928571428565</v>
      </c>
      <c r="M67" s="38">
        <f t="shared" si="2"/>
        <v>0.98809523809523825</v>
      </c>
    </row>
    <row r="68" spans="8:13">
      <c r="H68" s="38">
        <v>16</v>
      </c>
      <c r="I68" s="39">
        <v>42477</v>
      </c>
      <c r="J68" s="38">
        <v>10.485714285714298</v>
      </c>
      <c r="K68" s="38">
        <v>13</v>
      </c>
      <c r="L68" s="38">
        <f t="shared" si="1"/>
        <v>0.62098214285714293</v>
      </c>
      <c r="M68" s="38">
        <f t="shared" si="2"/>
        <v>1.0857142857142839</v>
      </c>
    </row>
    <row r="69" spans="8:13">
      <c r="H69" s="38">
        <v>17</v>
      </c>
      <c r="I69" s="39">
        <v>42484</v>
      </c>
      <c r="J69" s="38">
        <v>7.8142857142856883</v>
      </c>
      <c r="K69" s="38">
        <v>32</v>
      </c>
      <c r="L69" s="38">
        <f t="shared" si="1"/>
        <v>1.5285714285714285</v>
      </c>
      <c r="M69" s="38">
        <f t="shared" si="2"/>
        <v>1.5309523809523853</v>
      </c>
    </row>
    <row r="70" spans="8:13">
      <c r="H70" s="38">
        <v>18</v>
      </c>
      <c r="I70" s="39">
        <v>42491</v>
      </c>
      <c r="J70" s="38">
        <v>6.914285714285727</v>
      </c>
      <c r="K70" s="38">
        <v>23</v>
      </c>
      <c r="L70" s="38">
        <f t="shared" si="1"/>
        <v>1.0986607142857143</v>
      </c>
      <c r="M70" s="38">
        <f t="shared" si="2"/>
        <v>1.680952380952379</v>
      </c>
    </row>
    <row r="71" spans="8:13">
      <c r="H71" s="38">
        <v>19</v>
      </c>
      <c r="I71" s="39">
        <v>42498</v>
      </c>
      <c r="J71" s="38">
        <v>12.400000000000157</v>
      </c>
      <c r="L71" s="38">
        <f t="shared" si="1"/>
        <v>0</v>
      </c>
      <c r="M71" s="38">
        <f t="shared" si="2"/>
        <v>0.76666666666664063</v>
      </c>
    </row>
    <row r="72" spans="8:13">
      <c r="H72" s="38">
        <v>20</v>
      </c>
      <c r="I72" s="39">
        <v>42505</v>
      </c>
      <c r="J72" s="38">
        <v>14.014285714285636</v>
      </c>
      <c r="L72" s="38">
        <f t="shared" si="1"/>
        <v>0</v>
      </c>
      <c r="M72" s="38">
        <f t="shared" si="2"/>
        <v>0.49761904761906067</v>
      </c>
    </row>
    <row r="73" spans="8:13">
      <c r="H73" s="38">
        <v>21</v>
      </c>
      <c r="I73" s="39">
        <v>42512</v>
      </c>
      <c r="J73" s="38">
        <v>13.971428571428598</v>
      </c>
      <c r="L73" s="38">
        <f t="shared" si="1"/>
        <v>0</v>
      </c>
      <c r="M73" s="38">
        <f t="shared" si="2"/>
        <v>0.5047619047619003</v>
      </c>
    </row>
    <row r="74" spans="8:13">
      <c r="H74" s="38">
        <v>22</v>
      </c>
      <c r="I74" s="39">
        <v>42519</v>
      </c>
      <c r="J74" s="38">
        <v>16.65714285714278</v>
      </c>
      <c r="L74" s="38">
        <f t="shared" si="1"/>
        <v>0</v>
      </c>
      <c r="M74" s="38">
        <f t="shared" si="2"/>
        <v>5.7142857142869964E-2</v>
      </c>
    </row>
    <row r="75" spans="8:13">
      <c r="H75" s="38">
        <v>23</v>
      </c>
      <c r="I75" s="39">
        <v>42526</v>
      </c>
      <c r="J75" s="38">
        <v>17.72857142857135</v>
      </c>
      <c r="L75" s="38">
        <f t="shared" si="1"/>
        <v>0</v>
      </c>
      <c r="M75" s="38">
        <f t="shared" si="2"/>
        <v>-0.12142857142855827</v>
      </c>
    </row>
    <row r="76" spans="8:13">
      <c r="H76" s="38">
        <v>24</v>
      </c>
      <c r="I76" s="39">
        <v>42533</v>
      </c>
      <c r="J76" s="38">
        <v>17.357142857142726</v>
      </c>
      <c r="L76" s="38">
        <f t="shared" si="1"/>
        <v>0</v>
      </c>
      <c r="M76" s="38">
        <f t="shared" si="2"/>
        <v>-5.9523809523787698E-2</v>
      </c>
    </row>
    <row r="77" spans="8:13">
      <c r="H77" s="38">
        <v>25</v>
      </c>
      <c r="I77" s="39">
        <v>42540</v>
      </c>
      <c r="J77" s="38">
        <v>16.799999999999923</v>
      </c>
      <c r="L77" s="38">
        <f t="shared" si="1"/>
        <v>0</v>
      </c>
      <c r="M77" s="38">
        <f t="shared" si="2"/>
        <v>3.3333333333346239E-2</v>
      </c>
    </row>
    <row r="78" spans="8:13">
      <c r="H78" s="38">
        <v>26</v>
      </c>
      <c r="I78" s="39">
        <v>42547</v>
      </c>
      <c r="J78" s="38">
        <v>20.828571428571454</v>
      </c>
      <c r="L78" s="38">
        <f t="shared" si="1"/>
        <v>0</v>
      </c>
      <c r="M78" s="38">
        <f t="shared" si="2"/>
        <v>-0.63809523809524238</v>
      </c>
    </row>
    <row r="79" spans="8:13">
      <c r="H79" s="38">
        <v>27</v>
      </c>
      <c r="I79" s="39">
        <v>42554</v>
      </c>
      <c r="J79" s="38">
        <v>19.442857142857065</v>
      </c>
      <c r="L79" s="38">
        <f t="shared" si="1"/>
        <v>0</v>
      </c>
      <c r="M79" s="38">
        <f t="shared" ref="M79:M110" si="3">(M$13-J79)*M$12/30</f>
        <v>-0.40714285714284415</v>
      </c>
    </row>
    <row r="80" spans="8:13">
      <c r="H80" s="38">
        <v>28</v>
      </c>
      <c r="I80" s="39">
        <v>42561</v>
      </c>
      <c r="J80" s="38">
        <v>19.30000000000005</v>
      </c>
      <c r="L80" s="38">
        <f t="shared" ref="L80:L143" si="4">K80*10.7/24/7*L$13</f>
        <v>0</v>
      </c>
      <c r="M80" s="38">
        <f t="shared" si="3"/>
        <v>-0.38333333333334174</v>
      </c>
    </row>
    <row r="81" spans="8:13">
      <c r="H81" s="38">
        <v>29</v>
      </c>
      <c r="I81" s="39">
        <v>42568</v>
      </c>
      <c r="J81" s="38">
        <v>18.542857142857038</v>
      </c>
      <c r="L81" s="38">
        <f t="shared" si="4"/>
        <v>0</v>
      </c>
      <c r="M81" s="38">
        <f t="shared" si="3"/>
        <v>-0.25714285714283963</v>
      </c>
    </row>
    <row r="82" spans="8:13">
      <c r="H82" s="38">
        <v>30</v>
      </c>
      <c r="I82" s="39">
        <v>42575</v>
      </c>
      <c r="J82" s="38">
        <v>21.30000000000005</v>
      </c>
      <c r="L82" s="38">
        <f t="shared" si="4"/>
        <v>0</v>
      </c>
      <c r="M82" s="38">
        <f t="shared" si="3"/>
        <v>-0.71666666666667511</v>
      </c>
    </row>
    <row r="83" spans="8:13">
      <c r="H83" s="38">
        <v>31</v>
      </c>
      <c r="I83" s="39">
        <v>42582</v>
      </c>
      <c r="J83" s="38">
        <v>21.257142857142885</v>
      </c>
      <c r="L83" s="38">
        <f t="shared" si="4"/>
        <v>0</v>
      </c>
      <c r="M83" s="38">
        <f t="shared" si="3"/>
        <v>-0.70952380952381411</v>
      </c>
    </row>
    <row r="84" spans="8:13">
      <c r="H84" s="38">
        <v>32</v>
      </c>
      <c r="I84" s="39">
        <v>42589</v>
      </c>
      <c r="J84" s="38">
        <v>18.757142857143013</v>
      </c>
      <c r="L84" s="38">
        <f t="shared" si="4"/>
        <v>0</v>
      </c>
      <c r="M84" s="38">
        <f t="shared" si="3"/>
        <v>-0.29285714285716874</v>
      </c>
    </row>
    <row r="85" spans="8:13">
      <c r="H85" s="38">
        <v>33</v>
      </c>
      <c r="I85" s="39">
        <v>42596</v>
      </c>
      <c r="J85" s="38">
        <v>16.928571428571427</v>
      </c>
      <c r="L85" s="38">
        <f t="shared" si="4"/>
        <v>0</v>
      </c>
      <c r="M85" s="38">
        <f t="shared" si="3"/>
        <v>1.1904761904762159E-2</v>
      </c>
    </row>
    <row r="86" spans="8:13">
      <c r="H86" s="38">
        <v>34</v>
      </c>
      <c r="I86" s="39">
        <v>42603</v>
      </c>
      <c r="J86" s="38">
        <v>18.171428571428674</v>
      </c>
      <c r="L86" s="38">
        <f t="shared" si="4"/>
        <v>0</v>
      </c>
      <c r="M86" s="38">
        <f t="shared" si="3"/>
        <v>-0.19523809523811231</v>
      </c>
    </row>
    <row r="87" spans="8:13">
      <c r="H87" s="38">
        <v>35</v>
      </c>
      <c r="I87" s="39">
        <v>42610</v>
      </c>
      <c r="J87" s="38">
        <v>20.428571428571299</v>
      </c>
      <c r="L87" s="38">
        <f t="shared" si="4"/>
        <v>0</v>
      </c>
      <c r="M87" s="38">
        <f t="shared" si="3"/>
        <v>-0.57142857142854986</v>
      </c>
    </row>
    <row r="88" spans="8:13">
      <c r="H88" s="38">
        <v>36</v>
      </c>
      <c r="I88" s="39">
        <v>42617</v>
      </c>
      <c r="J88" s="38">
        <v>19.257142857142753</v>
      </c>
      <c r="L88" s="38">
        <f t="shared" si="4"/>
        <v>0</v>
      </c>
      <c r="M88" s="38">
        <f t="shared" si="3"/>
        <v>-0.37619047619045887</v>
      </c>
    </row>
    <row r="89" spans="8:13">
      <c r="H89" s="38">
        <v>37</v>
      </c>
      <c r="I89" s="39">
        <v>42624</v>
      </c>
      <c r="J89" s="38">
        <v>20.242857142857115</v>
      </c>
      <c r="L89" s="38">
        <f t="shared" si="4"/>
        <v>0</v>
      </c>
      <c r="M89" s="38">
        <f t="shared" si="3"/>
        <v>-0.54047619047618589</v>
      </c>
    </row>
    <row r="90" spans="8:13">
      <c r="H90" s="38">
        <v>38</v>
      </c>
      <c r="I90" s="39">
        <v>42631</v>
      </c>
      <c r="J90" s="38">
        <v>19.857142857142858</v>
      </c>
      <c r="L90" s="38">
        <f t="shared" si="4"/>
        <v>0</v>
      </c>
      <c r="M90" s="38">
        <f t="shared" si="3"/>
        <v>-0.47619047619047628</v>
      </c>
    </row>
    <row r="91" spans="8:13">
      <c r="H91" s="38">
        <v>39</v>
      </c>
      <c r="I91" s="39">
        <v>42638</v>
      </c>
      <c r="J91" s="38">
        <v>12.728571428571351</v>
      </c>
      <c r="K91" s="38">
        <v>4</v>
      </c>
      <c r="L91" s="38">
        <f t="shared" si="4"/>
        <v>0.19107142857142856</v>
      </c>
      <c r="M91" s="38">
        <f t="shared" si="3"/>
        <v>0.71190476190477481</v>
      </c>
    </row>
    <row r="92" spans="8:13">
      <c r="H92" s="38">
        <v>40</v>
      </c>
      <c r="I92" s="39">
        <v>42645</v>
      </c>
      <c r="J92" s="38">
        <v>15.671428571428416</v>
      </c>
      <c r="K92" s="38">
        <v>18</v>
      </c>
      <c r="L92" s="38">
        <f t="shared" si="4"/>
        <v>0.85982142857142874</v>
      </c>
      <c r="M92" s="38">
        <f t="shared" si="3"/>
        <v>0.22142857142859729</v>
      </c>
    </row>
    <row r="93" spans="8:13">
      <c r="H93" s="38">
        <v>41</v>
      </c>
      <c r="I93" s="39">
        <v>42652</v>
      </c>
      <c r="J93" s="38">
        <v>8.3142857142856883</v>
      </c>
      <c r="K93" s="38">
        <v>23</v>
      </c>
      <c r="L93" s="38">
        <f t="shared" si="4"/>
        <v>1.0986607142857143</v>
      </c>
      <c r="M93" s="38">
        <f t="shared" si="3"/>
        <v>1.447619047619052</v>
      </c>
    </row>
    <row r="94" spans="8:13">
      <c r="H94" s="38">
        <v>42</v>
      </c>
      <c r="I94" s="39">
        <v>42659</v>
      </c>
      <c r="J94" s="38">
        <v>7.8571428571428568</v>
      </c>
      <c r="K94" s="38">
        <v>29</v>
      </c>
      <c r="L94" s="38">
        <f t="shared" si="4"/>
        <v>1.3852678571428569</v>
      </c>
      <c r="M94" s="38">
        <f t="shared" si="3"/>
        <v>1.5238095238095235</v>
      </c>
    </row>
    <row r="95" spans="8:13">
      <c r="H95" s="38">
        <v>43</v>
      </c>
      <c r="I95" s="39">
        <v>42666</v>
      </c>
      <c r="J95" s="38">
        <v>7.9999999999998703</v>
      </c>
      <c r="K95" s="38">
        <v>28</v>
      </c>
      <c r="L95" s="38">
        <f t="shared" si="4"/>
        <v>1.3374999999999999</v>
      </c>
      <c r="M95" s="38">
        <f t="shared" si="3"/>
        <v>1.5000000000000215</v>
      </c>
    </row>
    <row r="96" spans="8:13">
      <c r="H96" s="38">
        <v>44</v>
      </c>
      <c r="I96" s="39">
        <v>42673</v>
      </c>
      <c r="J96" s="38">
        <v>9.0285714285714018</v>
      </c>
      <c r="K96" s="38">
        <v>33</v>
      </c>
      <c r="L96" s="38">
        <f t="shared" si="4"/>
        <v>1.5763392857142855</v>
      </c>
      <c r="M96" s="38">
        <f t="shared" si="3"/>
        <v>1.328571428571433</v>
      </c>
    </row>
    <row r="97" spans="8:13">
      <c r="H97" s="38">
        <v>45</v>
      </c>
      <c r="I97" s="39">
        <v>42680</v>
      </c>
      <c r="J97" s="38">
        <v>5.5428571428571685</v>
      </c>
      <c r="K97" s="38">
        <v>56</v>
      </c>
      <c r="L97" s="38">
        <f t="shared" si="4"/>
        <v>2.6749999999999998</v>
      </c>
      <c r="M97" s="38">
        <f t="shared" si="3"/>
        <v>1.909523809523805</v>
      </c>
    </row>
    <row r="98" spans="8:13">
      <c r="H98" s="38">
        <v>46</v>
      </c>
      <c r="I98" s="39">
        <v>42687</v>
      </c>
      <c r="J98" s="38">
        <v>1.042857142857039</v>
      </c>
      <c r="K98" s="38">
        <v>41</v>
      </c>
      <c r="L98" s="38">
        <f t="shared" si="4"/>
        <v>1.9584821428571426</v>
      </c>
      <c r="M98" s="38">
        <f t="shared" si="3"/>
        <v>2.6595238095238267</v>
      </c>
    </row>
    <row r="99" spans="8:13">
      <c r="H99" s="38">
        <v>47</v>
      </c>
      <c r="I99" s="39">
        <v>42694</v>
      </c>
      <c r="J99" s="38">
        <v>4.3142857142856883</v>
      </c>
      <c r="K99" s="38">
        <v>34</v>
      </c>
      <c r="L99" s="38">
        <f t="shared" si="4"/>
        <v>1.6241071428571427</v>
      </c>
      <c r="M99" s="38">
        <f t="shared" si="3"/>
        <v>2.1142857142857188</v>
      </c>
    </row>
    <row r="100" spans="8:13">
      <c r="H100" s="38">
        <v>48</v>
      </c>
      <c r="I100" s="39">
        <v>42701</v>
      </c>
      <c r="J100" s="38">
        <v>5.3285714285715846</v>
      </c>
      <c r="K100" s="38">
        <v>58</v>
      </c>
      <c r="L100" s="38">
        <f t="shared" si="4"/>
        <v>2.7705357142857139</v>
      </c>
      <c r="M100" s="38">
        <f t="shared" si="3"/>
        <v>1.945238095238069</v>
      </c>
    </row>
    <row r="101" spans="8:13">
      <c r="H101" s="38">
        <v>49</v>
      </c>
      <c r="I101" s="39">
        <v>42708</v>
      </c>
      <c r="J101" s="38">
        <v>-0.5428571428571688</v>
      </c>
      <c r="K101" s="38">
        <v>42</v>
      </c>
      <c r="L101" s="38">
        <f t="shared" si="4"/>
        <v>2.0062499999999996</v>
      </c>
      <c r="M101" s="38">
        <f t="shared" si="3"/>
        <v>2.9238095238095285</v>
      </c>
    </row>
    <row r="102" spans="8:13">
      <c r="H102" s="38">
        <v>50</v>
      </c>
      <c r="I102" s="39">
        <v>42715</v>
      </c>
      <c r="J102" s="38">
        <v>2.0857142857143378</v>
      </c>
      <c r="K102" s="38">
        <v>50</v>
      </c>
      <c r="L102" s="38">
        <f t="shared" si="4"/>
        <v>2.3883928571428572</v>
      </c>
      <c r="M102" s="38">
        <f t="shared" si="3"/>
        <v>2.4857142857142764</v>
      </c>
    </row>
    <row r="103" spans="8:13">
      <c r="H103" s="38">
        <v>51</v>
      </c>
      <c r="I103" s="39">
        <v>42722</v>
      </c>
      <c r="J103" s="38">
        <v>0.48571428571423375</v>
      </c>
      <c r="K103" s="38">
        <v>51</v>
      </c>
      <c r="L103" s="38">
        <f t="shared" si="4"/>
        <v>2.4361607142857142</v>
      </c>
      <c r="M103" s="38">
        <f t="shared" si="3"/>
        <v>2.7523809523809608</v>
      </c>
    </row>
    <row r="104" spans="8:13">
      <c r="H104" s="38">
        <v>52</v>
      </c>
      <c r="I104" s="39">
        <v>42729</v>
      </c>
      <c r="J104" s="38">
        <v>0.3428571428572208</v>
      </c>
      <c r="K104" s="38">
        <v>55</v>
      </c>
      <c r="L104" s="38">
        <f t="shared" si="4"/>
        <v>2.6272321428571428</v>
      </c>
      <c r="M104" s="38">
        <f t="shared" si="3"/>
        <v>2.7761904761904637</v>
      </c>
    </row>
    <row r="105" spans="8:13">
      <c r="H105" s="38">
        <v>53</v>
      </c>
      <c r="I105" s="39">
        <v>42736</v>
      </c>
      <c r="J105" s="38">
        <v>1.2992781453898974E-13</v>
      </c>
      <c r="K105" s="38">
        <v>51</v>
      </c>
      <c r="L105" s="38">
        <f t="shared" si="4"/>
        <v>2.4361607142857142</v>
      </c>
      <c r="M105" s="38">
        <f t="shared" si="3"/>
        <v>2.8333333333333117</v>
      </c>
    </row>
    <row r="106" spans="8:13">
      <c r="H106" s="38">
        <v>1</v>
      </c>
      <c r="I106" s="39">
        <v>42743</v>
      </c>
      <c r="J106" s="38">
        <v>-4.4285714285714288</v>
      </c>
      <c r="K106" s="38">
        <v>84</v>
      </c>
      <c r="L106" s="38">
        <f t="shared" si="4"/>
        <v>4.0124999999999993</v>
      </c>
      <c r="M106" s="38">
        <f t="shared" si="3"/>
        <v>3.5714285714285716</v>
      </c>
    </row>
    <row r="107" spans="8:13">
      <c r="H107" s="38">
        <v>2</v>
      </c>
      <c r="I107" s="39">
        <v>42750</v>
      </c>
      <c r="J107" s="38">
        <v>-1.8142857142855584</v>
      </c>
      <c r="K107" s="38">
        <v>59</v>
      </c>
      <c r="L107" s="38">
        <f t="shared" si="4"/>
        <v>2.8183035714285714</v>
      </c>
      <c r="M107" s="38">
        <f t="shared" si="3"/>
        <v>3.1357142857142595</v>
      </c>
    </row>
    <row r="108" spans="8:13">
      <c r="H108" s="38">
        <v>3</v>
      </c>
      <c r="I108" s="39">
        <v>42757</v>
      </c>
      <c r="J108" s="38">
        <v>-6.5857142857143378</v>
      </c>
      <c r="K108" s="38">
        <v>101</v>
      </c>
      <c r="L108" s="38">
        <f t="shared" si="4"/>
        <v>4.824553571428571</v>
      </c>
      <c r="M108" s="38">
        <f t="shared" si="3"/>
        <v>3.9309523809523901</v>
      </c>
    </row>
    <row r="109" spans="8:13">
      <c r="H109" s="38">
        <v>4</v>
      </c>
      <c r="I109" s="39">
        <v>42764</v>
      </c>
      <c r="J109" s="38">
        <v>-5.1285714285715063</v>
      </c>
      <c r="K109" s="38">
        <v>48</v>
      </c>
      <c r="L109" s="38">
        <f t="shared" si="4"/>
        <v>2.2928571428571423</v>
      </c>
      <c r="M109" s="38">
        <f t="shared" si="3"/>
        <v>3.6880952380952507</v>
      </c>
    </row>
    <row r="110" spans="8:13">
      <c r="H110" s="38">
        <v>5</v>
      </c>
      <c r="I110" s="39">
        <v>42771</v>
      </c>
      <c r="J110" s="38">
        <v>-2.5857142857144675</v>
      </c>
      <c r="K110" s="38">
        <v>46</v>
      </c>
      <c r="L110" s="38">
        <f t="shared" si="4"/>
        <v>2.1973214285714286</v>
      </c>
      <c r="M110" s="38">
        <f t="shared" si="3"/>
        <v>3.264285714285744</v>
      </c>
    </row>
    <row r="111" spans="8:13">
      <c r="H111" s="38">
        <v>6</v>
      </c>
      <c r="I111" s="39">
        <v>42778</v>
      </c>
      <c r="J111" s="38">
        <v>-1.1285714285712467</v>
      </c>
      <c r="K111" s="38">
        <v>48</v>
      </c>
      <c r="L111" s="38">
        <f t="shared" si="4"/>
        <v>2.2928571428571423</v>
      </c>
      <c r="M111" s="38">
        <f t="shared" ref="M111:M142" si="5">(M$13-J111)*M$12/30</f>
        <v>3.0214285714285412</v>
      </c>
    </row>
    <row r="112" spans="8:13">
      <c r="H112" s="38">
        <v>7</v>
      </c>
      <c r="I112" s="39">
        <v>42785</v>
      </c>
      <c r="J112" s="38">
        <v>1.6142857142857403</v>
      </c>
      <c r="K112" s="38">
        <v>61</v>
      </c>
      <c r="L112" s="38">
        <f t="shared" si="4"/>
        <v>2.9138392857142854</v>
      </c>
      <c r="M112" s="38">
        <f t="shared" si="5"/>
        <v>2.5642857142857101</v>
      </c>
    </row>
    <row r="113" spans="8:13">
      <c r="H113" s="38">
        <v>8</v>
      </c>
      <c r="I113" s="39">
        <v>42792</v>
      </c>
      <c r="J113" s="38">
        <v>6.3428571428569613</v>
      </c>
      <c r="K113" s="38">
        <v>61</v>
      </c>
      <c r="L113" s="38">
        <f t="shared" si="4"/>
        <v>2.9138392857142854</v>
      </c>
      <c r="M113" s="38">
        <f t="shared" si="5"/>
        <v>1.7761904761905067</v>
      </c>
    </row>
    <row r="114" spans="8:13">
      <c r="H114" s="38">
        <v>9</v>
      </c>
      <c r="I114" s="39">
        <v>42799</v>
      </c>
      <c r="J114" s="38">
        <v>6.7571428571428829</v>
      </c>
      <c r="K114" s="38">
        <v>64</v>
      </c>
      <c r="L114" s="38">
        <f t="shared" si="4"/>
        <v>3.0571428571428569</v>
      </c>
      <c r="M114" s="38">
        <f t="shared" si="5"/>
        <v>1.7071428571428529</v>
      </c>
    </row>
    <row r="115" spans="8:13">
      <c r="H115" s="38">
        <v>10</v>
      </c>
      <c r="I115" s="39">
        <v>42806</v>
      </c>
      <c r="J115" s="38">
        <v>4.657142857142909</v>
      </c>
      <c r="K115" s="38">
        <v>59</v>
      </c>
      <c r="L115" s="38">
        <f t="shared" si="4"/>
        <v>2.8183035714285714</v>
      </c>
      <c r="M115" s="38">
        <f t="shared" si="5"/>
        <v>2.0571428571428485</v>
      </c>
    </row>
    <row r="116" spans="8:13">
      <c r="H116" s="38">
        <v>11</v>
      </c>
      <c r="I116" s="39">
        <v>42813</v>
      </c>
      <c r="J116" s="38">
        <v>6.7857142857144153</v>
      </c>
      <c r="K116" s="38">
        <v>59</v>
      </c>
      <c r="L116" s="38">
        <f t="shared" si="4"/>
        <v>2.8183035714285714</v>
      </c>
      <c r="M116" s="38">
        <f t="shared" si="5"/>
        <v>1.7023809523809306</v>
      </c>
    </row>
    <row r="117" spans="8:13">
      <c r="H117" s="38">
        <v>12</v>
      </c>
      <c r="I117" s="39">
        <v>42820</v>
      </c>
      <c r="J117" s="38">
        <v>7.5571428571428054</v>
      </c>
      <c r="K117" s="38">
        <v>39</v>
      </c>
      <c r="L117" s="38">
        <f t="shared" si="4"/>
        <v>1.8629464285714286</v>
      </c>
      <c r="M117" s="38">
        <f t="shared" si="5"/>
        <v>1.5738095238095324</v>
      </c>
    </row>
    <row r="118" spans="8:13">
      <c r="H118" s="38">
        <v>13</v>
      </c>
      <c r="I118" s="39">
        <v>42827</v>
      </c>
      <c r="J118" s="38">
        <v>12.242857142857117</v>
      </c>
      <c r="K118" s="38">
        <v>26</v>
      </c>
      <c r="L118" s="38">
        <f t="shared" si="4"/>
        <v>1.2419642857142859</v>
      </c>
      <c r="M118" s="38">
        <f t="shared" si="5"/>
        <v>0.79285714285714703</v>
      </c>
    </row>
    <row r="119" spans="8:13">
      <c r="H119" s="38">
        <v>14</v>
      </c>
      <c r="I119" s="39">
        <v>42834</v>
      </c>
      <c r="J119" s="38">
        <v>9.5857142857144684</v>
      </c>
      <c r="K119" s="38">
        <v>19</v>
      </c>
      <c r="L119" s="38">
        <f t="shared" si="4"/>
        <v>0.90758928571428565</v>
      </c>
      <c r="M119" s="38">
        <f t="shared" si="5"/>
        <v>1.2357142857142553</v>
      </c>
    </row>
    <row r="120" spans="8:13">
      <c r="H120" s="38">
        <v>15</v>
      </c>
      <c r="I120" s="39">
        <v>42841</v>
      </c>
      <c r="J120" s="38">
        <v>9.6999999999998181</v>
      </c>
      <c r="K120" s="38">
        <v>19</v>
      </c>
      <c r="L120" s="38">
        <f t="shared" si="4"/>
        <v>0.90758928571428565</v>
      </c>
      <c r="M120" s="38">
        <f t="shared" si="5"/>
        <v>1.216666666666697</v>
      </c>
    </row>
    <row r="121" spans="8:13">
      <c r="H121" s="38">
        <v>16</v>
      </c>
      <c r="I121" s="39">
        <v>42848</v>
      </c>
      <c r="J121" s="38">
        <v>4.7285714285713505</v>
      </c>
      <c r="K121" s="38">
        <v>29</v>
      </c>
      <c r="L121" s="38">
        <f t="shared" si="4"/>
        <v>1.3852678571428569</v>
      </c>
      <c r="M121" s="38">
        <f t="shared" si="5"/>
        <v>2.0452380952381084</v>
      </c>
    </row>
    <row r="122" spans="8:13">
      <c r="H122" s="38">
        <v>17</v>
      </c>
      <c r="I122" s="39">
        <v>42855</v>
      </c>
      <c r="J122" s="38">
        <v>7.1142857142857405</v>
      </c>
      <c r="K122" s="38">
        <v>37</v>
      </c>
      <c r="L122" s="38">
        <f t="shared" si="4"/>
        <v>1.7674107142857141</v>
      </c>
      <c r="M122" s="38">
        <f t="shared" si="5"/>
        <v>1.6476190476190431</v>
      </c>
    </row>
    <row r="123" spans="8:13">
      <c r="H123" s="38">
        <v>18</v>
      </c>
      <c r="I123" s="39">
        <v>42862</v>
      </c>
      <c r="J123" s="38">
        <v>11.399999999999896</v>
      </c>
      <c r="L123" s="38">
        <f t="shared" si="4"/>
        <v>0</v>
      </c>
      <c r="M123" s="38">
        <f t="shared" si="5"/>
        <v>0.93333333333335078</v>
      </c>
    </row>
    <row r="124" spans="8:13">
      <c r="H124" s="38">
        <v>19</v>
      </c>
      <c r="I124" s="39">
        <v>42869</v>
      </c>
      <c r="J124" s="38">
        <v>11.571428571428571</v>
      </c>
      <c r="L124" s="38">
        <f t="shared" si="4"/>
        <v>0</v>
      </c>
      <c r="M124" s="38">
        <f t="shared" si="5"/>
        <v>0.90476190476190488</v>
      </c>
    </row>
    <row r="125" spans="8:13">
      <c r="H125" s="38">
        <v>20</v>
      </c>
      <c r="I125" s="39">
        <v>42876</v>
      </c>
      <c r="J125" s="38">
        <v>16.942857142857196</v>
      </c>
      <c r="L125" s="38">
        <f t="shared" si="4"/>
        <v>0</v>
      </c>
      <c r="M125" s="38">
        <f t="shared" si="5"/>
        <v>9.5238095238006082E-3</v>
      </c>
    </row>
    <row r="126" spans="8:13">
      <c r="H126" s="38">
        <v>21</v>
      </c>
      <c r="I126" s="39">
        <v>42883</v>
      </c>
      <c r="J126" s="38">
        <v>16.514285714285638</v>
      </c>
      <c r="L126" s="38">
        <f t="shared" si="4"/>
        <v>0</v>
      </c>
      <c r="M126" s="38">
        <f t="shared" si="5"/>
        <v>8.0952380952393696E-2</v>
      </c>
    </row>
    <row r="127" spans="8:13">
      <c r="H127" s="38">
        <v>22</v>
      </c>
      <c r="I127" s="39">
        <v>42890</v>
      </c>
      <c r="J127" s="38">
        <v>20.028571428571663</v>
      </c>
      <c r="L127" s="38">
        <f t="shared" si="4"/>
        <v>0</v>
      </c>
      <c r="M127" s="38">
        <f t="shared" si="5"/>
        <v>-0.50476190476194382</v>
      </c>
    </row>
    <row r="128" spans="8:13">
      <c r="H128" s="38">
        <v>23</v>
      </c>
      <c r="I128" s="39">
        <v>42897</v>
      </c>
      <c r="J128" s="38">
        <v>17.38571428571413</v>
      </c>
      <c r="L128" s="38">
        <f t="shared" si="4"/>
        <v>0</v>
      </c>
      <c r="M128" s="38">
        <f t="shared" si="5"/>
        <v>-6.42857142856883E-2</v>
      </c>
    </row>
    <row r="129" spans="8:13">
      <c r="H129" s="38">
        <v>24</v>
      </c>
      <c r="I129" s="39">
        <v>42904</v>
      </c>
      <c r="J129" s="38">
        <v>18.69999999999995</v>
      </c>
      <c r="L129" s="38">
        <f t="shared" si="4"/>
        <v>0</v>
      </c>
      <c r="M129" s="38">
        <f t="shared" si="5"/>
        <v>-0.28333333333332494</v>
      </c>
    </row>
    <row r="130" spans="8:13">
      <c r="H130" s="38">
        <v>25</v>
      </c>
      <c r="I130" s="39">
        <v>42911</v>
      </c>
      <c r="J130" s="38">
        <v>22.18571428571418</v>
      </c>
      <c r="L130" s="38">
        <f t="shared" si="4"/>
        <v>0</v>
      </c>
      <c r="M130" s="38">
        <f t="shared" si="5"/>
        <v>-0.86428571428569667</v>
      </c>
    </row>
    <row r="131" spans="8:13">
      <c r="H131" s="38">
        <v>26</v>
      </c>
      <c r="I131" s="39">
        <v>42918</v>
      </c>
      <c r="J131" s="38">
        <v>18.771428571428778</v>
      </c>
      <c r="L131" s="38">
        <f t="shared" si="4"/>
        <v>0</v>
      </c>
      <c r="M131" s="38">
        <f t="shared" si="5"/>
        <v>-0.29523809523812972</v>
      </c>
    </row>
    <row r="132" spans="8:13">
      <c r="H132" s="38">
        <v>27</v>
      </c>
      <c r="I132" s="39">
        <v>42925</v>
      </c>
      <c r="J132" s="38">
        <v>20.642857142856624</v>
      </c>
      <c r="L132" s="38">
        <f t="shared" si="4"/>
        <v>0</v>
      </c>
      <c r="M132" s="38">
        <f t="shared" si="5"/>
        <v>-0.60714285714277061</v>
      </c>
    </row>
    <row r="133" spans="8:13">
      <c r="H133" s="38">
        <v>28</v>
      </c>
      <c r="I133" s="39">
        <v>42932</v>
      </c>
      <c r="J133" s="38">
        <v>17.914285714285921</v>
      </c>
      <c r="L133" s="38">
        <f t="shared" si="4"/>
        <v>0</v>
      </c>
      <c r="M133" s="38">
        <f t="shared" si="5"/>
        <v>-0.15238095238098678</v>
      </c>
    </row>
    <row r="134" spans="8:13">
      <c r="H134" s="38">
        <v>29</v>
      </c>
      <c r="I134" s="39">
        <v>42939</v>
      </c>
      <c r="J134" s="38">
        <v>21.885714285714389</v>
      </c>
      <c r="L134" s="38">
        <f t="shared" si="4"/>
        <v>0</v>
      </c>
      <c r="M134" s="38">
        <f t="shared" si="5"/>
        <v>-0.81428571428573149</v>
      </c>
    </row>
    <row r="135" spans="8:13">
      <c r="H135" s="38">
        <v>30</v>
      </c>
      <c r="I135" s="39">
        <v>42946</v>
      </c>
      <c r="J135" s="38">
        <v>18.69999999999995</v>
      </c>
      <c r="L135" s="38">
        <f t="shared" si="4"/>
        <v>0</v>
      </c>
      <c r="M135" s="38">
        <f t="shared" si="5"/>
        <v>-0.28333333333332494</v>
      </c>
    </row>
    <row r="136" spans="8:13">
      <c r="H136" s="38">
        <v>31</v>
      </c>
      <c r="I136" s="39">
        <v>42953</v>
      </c>
      <c r="J136" s="38">
        <v>23.471428571428469</v>
      </c>
      <c r="L136" s="38">
        <f t="shared" si="4"/>
        <v>0</v>
      </c>
      <c r="M136" s="38">
        <f t="shared" si="5"/>
        <v>-1.0785714285714114</v>
      </c>
    </row>
    <row r="137" spans="8:13">
      <c r="H137" s="38">
        <v>32</v>
      </c>
      <c r="I137" s="39">
        <v>42960</v>
      </c>
      <c r="J137" s="38">
        <v>18.928571428571168</v>
      </c>
      <c r="L137" s="38">
        <f t="shared" si="4"/>
        <v>0</v>
      </c>
      <c r="M137" s="38">
        <f t="shared" si="5"/>
        <v>-0.32142857142852793</v>
      </c>
    </row>
    <row r="138" spans="8:13">
      <c r="H138" s="38">
        <v>33</v>
      </c>
      <c r="I138" s="39">
        <v>42967</v>
      </c>
      <c r="J138" s="38">
        <v>19.357142857143117</v>
      </c>
      <c r="L138" s="38">
        <f t="shared" si="4"/>
        <v>0</v>
      </c>
      <c r="M138" s="38">
        <f t="shared" si="5"/>
        <v>-0.39285714285718615</v>
      </c>
    </row>
    <row r="139" spans="8:13">
      <c r="H139" s="38">
        <v>34</v>
      </c>
      <c r="I139" s="39">
        <v>42974</v>
      </c>
      <c r="J139" s="38">
        <v>18.100000000000104</v>
      </c>
      <c r="L139" s="38">
        <f t="shared" si="4"/>
        <v>0</v>
      </c>
      <c r="M139" s="38">
        <f t="shared" si="5"/>
        <v>-0.18333333333335075</v>
      </c>
    </row>
    <row r="140" spans="8:13">
      <c r="H140" s="38">
        <v>35</v>
      </c>
      <c r="I140" s="39">
        <v>42981</v>
      </c>
      <c r="J140" s="38">
        <v>16.785714285714285</v>
      </c>
      <c r="L140" s="38">
        <f t="shared" si="4"/>
        <v>0</v>
      </c>
      <c r="M140" s="38">
        <f t="shared" si="5"/>
        <v>3.5714285714285886E-2</v>
      </c>
    </row>
    <row r="141" spans="8:13">
      <c r="H141" s="38">
        <v>36</v>
      </c>
      <c r="I141" s="39">
        <v>42988</v>
      </c>
      <c r="J141" s="38">
        <v>15.11428571428613</v>
      </c>
      <c r="L141" s="38">
        <f t="shared" si="4"/>
        <v>0</v>
      </c>
      <c r="M141" s="38">
        <f t="shared" si="5"/>
        <v>0.31428571428564506</v>
      </c>
    </row>
    <row r="142" spans="8:13">
      <c r="H142" s="38">
        <v>37</v>
      </c>
      <c r="I142" s="39">
        <v>42995</v>
      </c>
      <c r="J142" s="38">
        <v>12.714285714286234</v>
      </c>
      <c r="L142" s="38">
        <f t="shared" si="4"/>
        <v>0</v>
      </c>
      <c r="M142" s="38">
        <f t="shared" si="5"/>
        <v>0.7142857142856277</v>
      </c>
    </row>
    <row r="143" spans="8:13">
      <c r="H143" s="38">
        <v>38</v>
      </c>
      <c r="I143" s="39">
        <v>43002</v>
      </c>
      <c r="J143" s="38">
        <v>11.028571428571533</v>
      </c>
      <c r="L143" s="38">
        <f t="shared" si="4"/>
        <v>0</v>
      </c>
      <c r="M143" s="38">
        <f t="shared" ref="M143:M174" si="6">(M$13-J143)*M$12/30</f>
        <v>0.99523809523807782</v>
      </c>
    </row>
    <row r="144" spans="8:13">
      <c r="H144" s="38">
        <v>39</v>
      </c>
      <c r="I144" s="39">
        <v>43009</v>
      </c>
      <c r="J144" s="38">
        <v>13.085714285714078</v>
      </c>
      <c r="K144" s="38">
        <v>10</v>
      </c>
      <c r="L144" s="38">
        <f t="shared" ref="L144:L207" si="7">K144*10.7/24/7*L$13</f>
        <v>0.4776785714285714</v>
      </c>
      <c r="M144" s="38">
        <f t="shared" si="6"/>
        <v>0.65238095238098714</v>
      </c>
    </row>
    <row r="145" spans="8:13">
      <c r="H145" s="38">
        <v>40</v>
      </c>
      <c r="I145" s="39">
        <v>43016</v>
      </c>
      <c r="J145" s="38">
        <v>11.257142857143274</v>
      </c>
      <c r="K145" s="38">
        <v>14</v>
      </c>
      <c r="L145" s="38">
        <f t="shared" si="7"/>
        <v>0.66874999999999996</v>
      </c>
      <c r="M145" s="38">
        <f t="shared" si="6"/>
        <v>0.9571428571427878</v>
      </c>
    </row>
    <row r="146" spans="8:13">
      <c r="H146" s="38">
        <v>41</v>
      </c>
      <c r="I146" s="39">
        <v>43023</v>
      </c>
      <c r="J146" s="38">
        <v>12.328571428571324</v>
      </c>
      <c r="K146" s="38">
        <v>9</v>
      </c>
      <c r="L146" s="38">
        <f t="shared" si="7"/>
        <v>0.42991071428571437</v>
      </c>
      <c r="M146" s="38">
        <f t="shared" si="6"/>
        <v>0.77857142857144601</v>
      </c>
    </row>
    <row r="147" spans="8:13">
      <c r="H147" s="38">
        <v>42</v>
      </c>
      <c r="I147" s="39">
        <v>43030</v>
      </c>
      <c r="J147" s="38">
        <v>11.571428571428571</v>
      </c>
      <c r="K147" s="38">
        <v>10</v>
      </c>
      <c r="L147" s="38">
        <f t="shared" si="7"/>
        <v>0.4776785714285714</v>
      </c>
      <c r="M147" s="38">
        <f t="shared" si="6"/>
        <v>0.90476190476190488</v>
      </c>
    </row>
    <row r="148" spans="8:13">
      <c r="H148" s="38">
        <v>43</v>
      </c>
      <c r="I148" s="39">
        <v>43037</v>
      </c>
      <c r="J148" s="38">
        <v>10.100000000000104</v>
      </c>
      <c r="K148" s="38">
        <v>11</v>
      </c>
      <c r="L148" s="38">
        <f t="shared" si="7"/>
        <v>0.52544642857142843</v>
      </c>
      <c r="M148" s="38">
        <f t="shared" si="6"/>
        <v>1.1499999999999824</v>
      </c>
    </row>
    <row r="149" spans="8:13">
      <c r="H149" s="38">
        <v>44</v>
      </c>
      <c r="I149" s="39">
        <v>43044</v>
      </c>
      <c r="J149" s="38">
        <v>6.4714285714284676</v>
      </c>
      <c r="K149" s="38">
        <v>23</v>
      </c>
      <c r="L149" s="38">
        <f t="shared" si="7"/>
        <v>1.0986607142857143</v>
      </c>
      <c r="M149" s="38">
        <f t="shared" si="6"/>
        <v>1.7547619047619218</v>
      </c>
    </row>
    <row r="150" spans="8:13">
      <c r="H150" s="38">
        <v>45</v>
      </c>
      <c r="I150" s="39">
        <v>43051</v>
      </c>
      <c r="J150" s="38">
        <v>5.7714285714287792</v>
      </c>
      <c r="K150" s="38">
        <v>17</v>
      </c>
      <c r="L150" s="38">
        <f t="shared" si="7"/>
        <v>0.81205357142857137</v>
      </c>
      <c r="M150" s="38">
        <f t="shared" si="6"/>
        <v>1.871428571428537</v>
      </c>
    </row>
    <row r="151" spans="8:13">
      <c r="H151" s="38">
        <v>46</v>
      </c>
      <c r="I151" s="39">
        <v>43058</v>
      </c>
      <c r="J151" s="38">
        <v>3.557142857142805</v>
      </c>
      <c r="K151" s="38">
        <v>21</v>
      </c>
      <c r="L151" s="38">
        <f t="shared" si="7"/>
        <v>1.0031249999999998</v>
      </c>
      <c r="M151" s="38">
        <f t="shared" si="6"/>
        <v>2.2404761904761994</v>
      </c>
    </row>
    <row r="152" spans="8:13">
      <c r="H152" s="38">
        <v>47</v>
      </c>
      <c r="I152" s="39">
        <v>43065</v>
      </c>
      <c r="J152" s="38">
        <v>4.957142857142701</v>
      </c>
      <c r="K152" s="38">
        <v>12</v>
      </c>
      <c r="L152" s="38">
        <f t="shared" si="7"/>
        <v>0.57321428571428557</v>
      </c>
      <c r="M152" s="38">
        <f t="shared" si="6"/>
        <v>2.0071428571428833</v>
      </c>
    </row>
    <row r="153" spans="8:13">
      <c r="H153" s="38">
        <v>48</v>
      </c>
      <c r="I153" s="39">
        <v>43072</v>
      </c>
      <c r="J153" s="38">
        <v>1.3714285714288832</v>
      </c>
      <c r="K153" s="38">
        <v>24</v>
      </c>
      <c r="L153" s="38">
        <f t="shared" si="7"/>
        <v>1.1464285714285711</v>
      </c>
      <c r="M153" s="38">
        <f t="shared" si="6"/>
        <v>2.6047619047618529</v>
      </c>
    </row>
    <row r="154" spans="8:13">
      <c r="H154" s="38">
        <v>49</v>
      </c>
      <c r="I154" s="39">
        <v>43079</v>
      </c>
      <c r="J154" s="38">
        <v>2.3428571428573508</v>
      </c>
      <c r="K154" s="38">
        <v>36</v>
      </c>
      <c r="L154" s="38">
        <f t="shared" si="7"/>
        <v>1.7196428571428575</v>
      </c>
      <c r="M154" s="38">
        <f t="shared" si="6"/>
        <v>2.442857142857108</v>
      </c>
    </row>
    <row r="155" spans="8:13">
      <c r="H155" s="38">
        <v>50</v>
      </c>
      <c r="I155" s="39">
        <v>43086</v>
      </c>
      <c r="J155" s="38">
        <v>2.7857142857145454</v>
      </c>
      <c r="K155" s="38">
        <v>47</v>
      </c>
      <c r="L155" s="38">
        <f t="shared" si="7"/>
        <v>2.2450892857142857</v>
      </c>
      <c r="M155" s="38">
        <f t="shared" si="6"/>
        <v>2.369047619047576</v>
      </c>
    </row>
    <row r="156" spans="8:13">
      <c r="H156" s="38">
        <v>51</v>
      </c>
      <c r="I156" s="39">
        <v>43093</v>
      </c>
      <c r="J156" s="38">
        <v>2.3857142857141298</v>
      </c>
      <c r="K156" s="38">
        <v>41</v>
      </c>
      <c r="L156" s="38">
        <f t="shared" si="7"/>
        <v>1.9584821428571426</v>
      </c>
      <c r="M156" s="38">
        <f t="shared" si="6"/>
        <v>2.4357142857143117</v>
      </c>
    </row>
    <row r="157" spans="8:13">
      <c r="H157" s="38">
        <v>52</v>
      </c>
      <c r="I157" s="39">
        <v>43100</v>
      </c>
      <c r="J157" s="38">
        <v>1.9428571428574546</v>
      </c>
      <c r="K157" s="38">
        <v>40</v>
      </c>
      <c r="L157" s="38">
        <f t="shared" si="7"/>
        <v>1.9107142857142856</v>
      </c>
      <c r="M157" s="38">
        <f t="shared" si="6"/>
        <v>2.5095238095237575</v>
      </c>
    </row>
    <row r="158" spans="8:13">
      <c r="H158" s="38">
        <v>1</v>
      </c>
      <c r="I158" s="39">
        <v>43107</v>
      </c>
      <c r="J158" s="38">
        <v>5.5142857142857666</v>
      </c>
      <c r="K158" s="38">
        <v>46</v>
      </c>
      <c r="L158" s="38">
        <f t="shared" si="7"/>
        <v>2.1973214285714286</v>
      </c>
      <c r="M158" s="38">
        <f t="shared" si="6"/>
        <v>1.9142857142857059</v>
      </c>
    </row>
    <row r="159" spans="8:13">
      <c r="H159" s="38">
        <v>2</v>
      </c>
      <c r="I159" s="39">
        <v>43114</v>
      </c>
      <c r="J159" s="38">
        <v>2.8571428571428572</v>
      </c>
      <c r="K159" s="38">
        <v>33</v>
      </c>
      <c r="L159" s="38">
        <f t="shared" si="7"/>
        <v>1.5763392857142855</v>
      </c>
      <c r="M159" s="38">
        <f t="shared" si="6"/>
        <v>2.3571428571428568</v>
      </c>
    </row>
    <row r="160" spans="8:13">
      <c r="H160" s="38">
        <v>3</v>
      </c>
      <c r="I160" s="39">
        <v>43121</v>
      </c>
      <c r="J160" s="38">
        <v>0.8428571428570909</v>
      </c>
      <c r="K160" s="38">
        <v>32</v>
      </c>
      <c r="L160" s="38">
        <f t="shared" si="7"/>
        <v>1.5285714285714285</v>
      </c>
      <c r="M160" s="38">
        <f t="shared" si="6"/>
        <v>2.6928571428571511</v>
      </c>
    </row>
    <row r="161" spans="8:13">
      <c r="H161" s="38">
        <v>4</v>
      </c>
      <c r="I161" s="39">
        <v>43128</v>
      </c>
      <c r="J161" s="38">
        <v>2.9571428571427014</v>
      </c>
      <c r="K161" s="38">
        <v>50</v>
      </c>
      <c r="L161" s="38">
        <f t="shared" si="7"/>
        <v>2.3883928571428572</v>
      </c>
      <c r="M161" s="38">
        <f t="shared" si="6"/>
        <v>2.3404761904762164</v>
      </c>
    </row>
    <row r="162" spans="8:13">
      <c r="H162" s="38">
        <v>5</v>
      </c>
      <c r="I162" s="39">
        <v>43135</v>
      </c>
      <c r="J162" s="38">
        <v>3.6714285714286752</v>
      </c>
      <c r="K162" s="38">
        <v>30</v>
      </c>
      <c r="L162" s="38">
        <f t="shared" si="7"/>
        <v>1.4330357142857144</v>
      </c>
      <c r="M162" s="38">
        <f t="shared" si="6"/>
        <v>2.2214285714285542</v>
      </c>
    </row>
    <row r="163" spans="8:13">
      <c r="H163" s="38">
        <v>6</v>
      </c>
      <c r="I163" s="39">
        <v>43142</v>
      </c>
      <c r="J163" s="38">
        <v>-1.0857142857143376</v>
      </c>
      <c r="K163" s="38">
        <v>48</v>
      </c>
      <c r="L163" s="38">
        <f t="shared" si="7"/>
        <v>2.2928571428571423</v>
      </c>
      <c r="M163" s="38">
        <f t="shared" si="6"/>
        <v>3.0142857142857236</v>
      </c>
    </row>
    <row r="164" spans="8:13">
      <c r="H164" s="38">
        <v>7</v>
      </c>
      <c r="I164" s="39">
        <v>43149</v>
      </c>
      <c r="J164" s="38">
        <v>-0.18571428571444162</v>
      </c>
      <c r="K164" s="38">
        <v>55</v>
      </c>
      <c r="L164" s="38">
        <f t="shared" si="7"/>
        <v>2.6272321428571428</v>
      </c>
      <c r="M164" s="38">
        <f t="shared" si="6"/>
        <v>2.8642857142857405</v>
      </c>
    </row>
    <row r="165" spans="8:13">
      <c r="H165" s="38">
        <v>8</v>
      </c>
      <c r="I165" s="39">
        <v>43156</v>
      </c>
      <c r="J165" s="38">
        <v>-3.757142857143013</v>
      </c>
      <c r="K165" s="38">
        <v>44</v>
      </c>
      <c r="L165" s="38">
        <f t="shared" si="7"/>
        <v>2.1017857142857137</v>
      </c>
      <c r="M165" s="38">
        <f t="shared" si="6"/>
        <v>3.4595238095238354</v>
      </c>
    </row>
    <row r="166" spans="8:13">
      <c r="H166" s="38">
        <v>9</v>
      </c>
      <c r="I166" s="39">
        <v>43163</v>
      </c>
      <c r="J166" s="38">
        <v>-8</v>
      </c>
      <c r="K166" s="38">
        <v>56</v>
      </c>
      <c r="L166" s="38">
        <f t="shared" si="7"/>
        <v>2.6749999999999998</v>
      </c>
      <c r="M166" s="38">
        <f t="shared" si="6"/>
        <v>4.166666666666667</v>
      </c>
    </row>
    <row r="167" spans="8:13">
      <c r="H167" s="38">
        <v>10</v>
      </c>
      <c r="I167" s="39">
        <v>43170</v>
      </c>
      <c r="J167" s="38">
        <v>4.242857142857507</v>
      </c>
      <c r="K167" s="38">
        <v>41</v>
      </c>
      <c r="L167" s="38">
        <f t="shared" si="7"/>
        <v>1.9584821428571426</v>
      </c>
      <c r="M167" s="38">
        <f t="shared" si="6"/>
        <v>2.1261904761904158</v>
      </c>
    </row>
    <row r="168" spans="8:13">
      <c r="H168" s="38">
        <v>11</v>
      </c>
      <c r="I168" s="39">
        <v>43177</v>
      </c>
      <c r="J168" s="38">
        <v>2.857142857143117</v>
      </c>
      <c r="K168" s="38">
        <v>36</v>
      </c>
      <c r="L168" s="38">
        <f t="shared" si="7"/>
        <v>1.7196428571428575</v>
      </c>
      <c r="M168" s="38">
        <f t="shared" si="6"/>
        <v>2.3571428571428137</v>
      </c>
    </row>
    <row r="169" spans="8:13">
      <c r="H169" s="38">
        <v>12</v>
      </c>
      <c r="I169" s="39">
        <v>43184</v>
      </c>
      <c r="J169" s="38">
        <v>0.35714285714285715</v>
      </c>
      <c r="K169" s="38">
        <v>40</v>
      </c>
      <c r="L169" s="38">
        <f t="shared" si="7"/>
        <v>1.9107142857142856</v>
      </c>
      <c r="M169" s="38">
        <f t="shared" si="6"/>
        <v>2.7738095238095237</v>
      </c>
    </row>
    <row r="170" spans="8:13">
      <c r="H170" s="38">
        <v>13</v>
      </c>
      <c r="I170" s="39">
        <v>43191</v>
      </c>
      <c r="J170" s="38">
        <v>5.342857142857091</v>
      </c>
      <c r="K170" s="38">
        <v>37</v>
      </c>
      <c r="L170" s="38">
        <f t="shared" si="7"/>
        <v>1.7674107142857141</v>
      </c>
      <c r="M170" s="38">
        <f t="shared" si="6"/>
        <v>1.9428571428571513</v>
      </c>
    </row>
    <row r="171" spans="8:13">
      <c r="H171" s="38">
        <v>14</v>
      </c>
      <c r="I171" s="39">
        <v>43198</v>
      </c>
      <c r="J171" s="38">
        <v>9.6714285714284163</v>
      </c>
      <c r="K171" s="38">
        <v>50</v>
      </c>
      <c r="L171" s="38">
        <f t="shared" si="7"/>
        <v>2.3883928571428572</v>
      </c>
      <c r="M171" s="38">
        <f t="shared" si="6"/>
        <v>1.2214285714285973</v>
      </c>
    </row>
    <row r="172" spans="8:13">
      <c r="H172" s="38">
        <v>15</v>
      </c>
      <c r="I172" s="39">
        <v>43205</v>
      </c>
      <c r="J172" s="38">
        <v>14.300000000000312</v>
      </c>
      <c r="K172" s="38">
        <v>26</v>
      </c>
      <c r="L172" s="38">
        <f t="shared" si="7"/>
        <v>1.2419642857142859</v>
      </c>
      <c r="M172" s="38">
        <f t="shared" si="6"/>
        <v>0.44999999999994805</v>
      </c>
    </row>
    <row r="173" spans="8:13">
      <c r="H173" s="38">
        <v>16</v>
      </c>
      <c r="I173" s="39">
        <v>43212</v>
      </c>
      <c r="J173" s="38">
        <v>15.971428571428467</v>
      </c>
      <c r="K173" s="38">
        <v>14</v>
      </c>
      <c r="L173" s="38">
        <f t="shared" si="7"/>
        <v>0.66874999999999996</v>
      </c>
      <c r="M173" s="38">
        <f t="shared" si="6"/>
        <v>0.17142857142858889</v>
      </c>
    </row>
    <row r="174" spans="8:13">
      <c r="H174" s="38">
        <v>17</v>
      </c>
      <c r="I174" s="39">
        <v>43219</v>
      </c>
      <c r="J174" s="38">
        <v>15.328571428571584</v>
      </c>
      <c r="K174" s="38">
        <v>14</v>
      </c>
      <c r="L174" s="38">
        <f t="shared" si="7"/>
        <v>0.66874999999999996</v>
      </c>
      <c r="M174" s="38">
        <f t="shared" si="6"/>
        <v>0.27857142857140271</v>
      </c>
    </row>
    <row r="175" spans="8:13">
      <c r="H175" s="38">
        <v>18</v>
      </c>
      <c r="I175" s="39">
        <v>43226</v>
      </c>
      <c r="J175" s="38">
        <v>15.299999999999793</v>
      </c>
      <c r="L175" s="38">
        <f t="shared" si="7"/>
        <v>0</v>
      </c>
      <c r="M175" s="38">
        <f t="shared" ref="M175:M211" si="8">(M$13-J175)*M$12/30</f>
        <v>0.28333333333336785</v>
      </c>
    </row>
    <row r="176" spans="8:13">
      <c r="H176" s="38">
        <v>19</v>
      </c>
      <c r="I176" s="39">
        <v>43233</v>
      </c>
      <c r="J176" s="38">
        <v>17.428571428571427</v>
      </c>
      <c r="L176" s="38">
        <f t="shared" si="7"/>
        <v>0</v>
      </c>
      <c r="M176" s="38">
        <f t="shared" si="8"/>
        <v>-7.1428571428571175E-2</v>
      </c>
    </row>
    <row r="177" spans="8:13">
      <c r="H177" s="38">
        <v>20</v>
      </c>
      <c r="I177" s="39">
        <v>43240</v>
      </c>
      <c r="J177" s="38">
        <v>14.457142857142701</v>
      </c>
      <c r="L177" s="38">
        <f t="shared" si="7"/>
        <v>0</v>
      </c>
      <c r="M177" s="38">
        <f t="shared" si="8"/>
        <v>0.42380952380954984</v>
      </c>
    </row>
    <row r="178" spans="8:13">
      <c r="H178" s="38">
        <v>21</v>
      </c>
      <c r="I178" s="39">
        <v>43247</v>
      </c>
      <c r="J178" s="38">
        <v>18.971428571428469</v>
      </c>
      <c r="L178" s="38">
        <f t="shared" si="7"/>
        <v>0</v>
      </c>
      <c r="M178" s="38">
        <f t="shared" si="8"/>
        <v>-0.32857142857141142</v>
      </c>
    </row>
    <row r="179" spans="8:13">
      <c r="H179" s="38">
        <v>22</v>
      </c>
      <c r="I179" s="39">
        <v>43254</v>
      </c>
      <c r="J179" s="38">
        <v>21.885714285714648</v>
      </c>
      <c r="L179" s="38">
        <f t="shared" si="7"/>
        <v>0</v>
      </c>
      <c r="M179" s="38">
        <f t="shared" si="8"/>
        <v>-0.81428571428577479</v>
      </c>
    </row>
    <row r="180" spans="8:13">
      <c r="H180" s="38">
        <v>23</v>
      </c>
      <c r="I180" s="39">
        <v>43261</v>
      </c>
      <c r="J180" s="38">
        <v>21.185714285714443</v>
      </c>
      <c r="L180" s="38">
        <f t="shared" si="7"/>
        <v>0</v>
      </c>
      <c r="M180" s="38">
        <f t="shared" si="8"/>
        <v>-0.6976190476190739</v>
      </c>
    </row>
    <row r="181" spans="8:13">
      <c r="H181" s="38">
        <v>24</v>
      </c>
      <c r="I181" s="39">
        <v>43268</v>
      </c>
      <c r="J181" s="38">
        <v>18.357142857142858</v>
      </c>
      <c r="L181" s="38">
        <f t="shared" si="7"/>
        <v>0</v>
      </c>
      <c r="M181" s="38">
        <f t="shared" si="8"/>
        <v>-0.22619047619047628</v>
      </c>
    </row>
    <row r="182" spans="8:13">
      <c r="H182" s="38">
        <v>25</v>
      </c>
      <c r="I182" s="39">
        <v>43275</v>
      </c>
      <c r="J182" s="38">
        <v>17.657142857142908</v>
      </c>
      <c r="L182" s="38">
        <f t="shared" si="7"/>
        <v>0</v>
      </c>
      <c r="M182" s="38">
        <f t="shared" si="8"/>
        <v>-0.10952380952381802</v>
      </c>
    </row>
    <row r="183" spans="8:13">
      <c r="H183" s="38">
        <v>26</v>
      </c>
      <c r="I183" s="39">
        <v>43282</v>
      </c>
      <c r="J183" s="38">
        <v>17.157142857142389</v>
      </c>
      <c r="L183" s="38">
        <f t="shared" si="7"/>
        <v>0</v>
      </c>
      <c r="M183" s="38">
        <f t="shared" si="8"/>
        <v>-2.6190476190398233E-2</v>
      </c>
    </row>
    <row r="184" spans="8:13">
      <c r="H184" s="38">
        <v>27</v>
      </c>
      <c r="I184" s="39">
        <v>43289</v>
      </c>
      <c r="J184" s="38">
        <v>19.842857142856833</v>
      </c>
      <c r="L184" s="38">
        <f t="shared" si="7"/>
        <v>0</v>
      </c>
      <c r="M184" s="38">
        <f t="shared" si="8"/>
        <v>-0.47380952380947211</v>
      </c>
    </row>
    <row r="185" spans="8:13">
      <c r="H185" s="38">
        <v>28</v>
      </c>
      <c r="I185" s="39">
        <v>43296</v>
      </c>
      <c r="J185" s="38">
        <v>19.328571428571326</v>
      </c>
      <c r="L185" s="38">
        <f t="shared" si="7"/>
        <v>0</v>
      </c>
      <c r="M185" s="38">
        <f t="shared" si="8"/>
        <v>-0.38809523809522101</v>
      </c>
    </row>
    <row r="186" spans="8:13">
      <c r="H186" s="38">
        <v>29</v>
      </c>
      <c r="I186" s="39">
        <v>43303</v>
      </c>
      <c r="J186" s="38">
        <v>22.057142857142804</v>
      </c>
      <c r="L186" s="38">
        <f t="shared" si="7"/>
        <v>0</v>
      </c>
      <c r="M186" s="38">
        <f t="shared" si="8"/>
        <v>-0.84285714285713398</v>
      </c>
    </row>
    <row r="187" spans="8:13">
      <c r="H187" s="38">
        <v>30</v>
      </c>
      <c r="I187" s="39">
        <v>43310</v>
      </c>
      <c r="J187" s="38">
        <v>24.457142857142962</v>
      </c>
      <c r="L187" s="38">
        <f t="shared" si="7"/>
        <v>0</v>
      </c>
      <c r="M187" s="38">
        <f t="shared" si="8"/>
        <v>-1.2428571428571604</v>
      </c>
    </row>
    <row r="188" spans="8:13">
      <c r="H188" s="38">
        <v>31</v>
      </c>
      <c r="I188" s="39">
        <v>43317</v>
      </c>
      <c r="J188" s="38">
        <v>26.157142857142649</v>
      </c>
      <c r="L188" s="38">
        <f t="shared" si="7"/>
        <v>0</v>
      </c>
      <c r="M188" s="38">
        <f t="shared" si="8"/>
        <v>-1.5261904761904412</v>
      </c>
    </row>
    <row r="189" spans="8:13">
      <c r="H189" s="38">
        <v>32</v>
      </c>
      <c r="I189" s="39">
        <v>43324</v>
      </c>
      <c r="J189" s="38">
        <v>22.699999999999687</v>
      </c>
      <c r="L189" s="38">
        <f t="shared" si="7"/>
        <v>0</v>
      </c>
      <c r="M189" s="38">
        <f t="shared" si="8"/>
        <v>-0.94999999999994778</v>
      </c>
    </row>
    <row r="190" spans="8:13">
      <c r="H190" s="38">
        <v>33</v>
      </c>
      <c r="I190" s="39">
        <v>43331</v>
      </c>
      <c r="J190" s="38">
        <v>22.80000000000005</v>
      </c>
      <c r="L190" s="38">
        <f t="shared" si="7"/>
        <v>0</v>
      </c>
      <c r="M190" s="38">
        <f t="shared" si="8"/>
        <v>-0.96666666666667511</v>
      </c>
    </row>
    <row r="191" spans="8:13">
      <c r="H191" s="38">
        <v>34</v>
      </c>
      <c r="I191" s="39">
        <v>43338</v>
      </c>
      <c r="J191" s="38">
        <v>21.157142857143167</v>
      </c>
      <c r="L191" s="38">
        <f t="shared" si="7"/>
        <v>0</v>
      </c>
      <c r="M191" s="38">
        <f t="shared" si="8"/>
        <v>-0.69285714285719457</v>
      </c>
    </row>
    <row r="192" spans="8:13">
      <c r="H192" s="38">
        <v>35</v>
      </c>
      <c r="I192" s="39">
        <v>43345</v>
      </c>
      <c r="J192" s="38">
        <v>17.442857142857456</v>
      </c>
      <c r="L192" s="38">
        <f t="shared" si="7"/>
        <v>0</v>
      </c>
      <c r="M192" s="38">
        <f t="shared" si="8"/>
        <v>-7.380952380957595E-2</v>
      </c>
    </row>
    <row r="193" spans="8:13">
      <c r="H193" s="38">
        <v>36</v>
      </c>
      <c r="I193" s="39">
        <v>43352</v>
      </c>
      <c r="J193" s="38">
        <v>18.442857142857456</v>
      </c>
      <c r="L193" s="38">
        <f t="shared" si="7"/>
        <v>0</v>
      </c>
      <c r="M193" s="38">
        <f t="shared" si="8"/>
        <v>-0.24047619047624261</v>
      </c>
    </row>
    <row r="194" spans="8:13">
      <c r="H194" s="38">
        <v>37</v>
      </c>
      <c r="I194" s="39">
        <v>43359</v>
      </c>
      <c r="J194" s="38">
        <v>18.285714285714025</v>
      </c>
      <c r="L194" s="38">
        <f t="shared" si="7"/>
        <v>0</v>
      </c>
      <c r="M194" s="38">
        <f t="shared" si="8"/>
        <v>-0.21428571428567089</v>
      </c>
    </row>
    <row r="195" spans="8:13">
      <c r="H195" s="38">
        <v>38</v>
      </c>
      <c r="I195" s="39">
        <v>43366</v>
      </c>
      <c r="J195" s="38">
        <v>18.542857142857038</v>
      </c>
      <c r="L195" s="38">
        <f t="shared" si="7"/>
        <v>0</v>
      </c>
      <c r="M195" s="38">
        <f t="shared" si="8"/>
        <v>-0.25714285714283963</v>
      </c>
    </row>
    <row r="196" spans="8:13">
      <c r="H196" s="38">
        <v>39</v>
      </c>
      <c r="I196" s="39">
        <v>43373</v>
      </c>
      <c r="J196" s="38">
        <v>10.157142857143169</v>
      </c>
      <c r="L196" s="38">
        <f t="shared" si="7"/>
        <v>0</v>
      </c>
      <c r="M196" s="38">
        <f t="shared" si="8"/>
        <v>1.1404761904761385</v>
      </c>
    </row>
    <row r="197" spans="8:13">
      <c r="H197" s="38">
        <v>40</v>
      </c>
      <c r="I197" s="39">
        <v>43380</v>
      </c>
      <c r="J197" s="38">
        <v>10.485714285714234</v>
      </c>
      <c r="L197" s="38">
        <f t="shared" si="7"/>
        <v>0</v>
      </c>
      <c r="M197" s="38">
        <f t="shared" si="8"/>
        <v>1.0857142857142941</v>
      </c>
    </row>
    <row r="198" spans="8:13">
      <c r="H198" s="38">
        <v>41</v>
      </c>
      <c r="I198" s="39">
        <v>43387</v>
      </c>
      <c r="J198" s="38">
        <v>13.871428571428883</v>
      </c>
      <c r="L198" s="38">
        <f t="shared" si="7"/>
        <v>0</v>
      </c>
      <c r="M198" s="38">
        <f t="shared" si="8"/>
        <v>0.52142857142851951</v>
      </c>
    </row>
    <row r="199" spans="8:13">
      <c r="H199" s="38">
        <v>42</v>
      </c>
      <c r="I199" s="39">
        <v>43394</v>
      </c>
      <c r="J199" s="38">
        <v>11.671428571428416</v>
      </c>
      <c r="L199" s="38">
        <f t="shared" si="7"/>
        <v>0</v>
      </c>
      <c r="M199" s="38">
        <f t="shared" si="8"/>
        <v>0.88809523809526403</v>
      </c>
    </row>
    <row r="200" spans="8:13">
      <c r="H200" s="38">
        <v>43</v>
      </c>
      <c r="I200" s="39">
        <v>43401</v>
      </c>
      <c r="J200" s="38">
        <v>8.142857142856883</v>
      </c>
      <c r="L200" s="38">
        <f t="shared" si="7"/>
        <v>0</v>
      </c>
      <c r="M200" s="38">
        <f t="shared" si="8"/>
        <v>1.4761904761905196</v>
      </c>
    </row>
    <row r="201" spans="8:13">
      <c r="H201" s="38">
        <v>44</v>
      </c>
      <c r="I201" s="39">
        <v>43408</v>
      </c>
      <c r="J201" s="38">
        <v>9.5857142857143369</v>
      </c>
      <c r="L201" s="38">
        <f t="shared" si="7"/>
        <v>0</v>
      </c>
      <c r="M201" s="38">
        <f t="shared" si="8"/>
        <v>1.2357142857142771</v>
      </c>
    </row>
    <row r="202" spans="8:13">
      <c r="H202" s="38">
        <v>45</v>
      </c>
      <c r="I202" s="39">
        <v>43415</v>
      </c>
      <c r="J202" s="38">
        <v>9.6285714285711173</v>
      </c>
      <c r="L202" s="38">
        <f t="shared" si="7"/>
        <v>0</v>
      </c>
      <c r="M202" s="38">
        <f t="shared" si="8"/>
        <v>1.2285714285714804</v>
      </c>
    </row>
    <row r="203" spans="8:13">
      <c r="H203" s="38">
        <v>46</v>
      </c>
      <c r="I203" s="39">
        <v>43422</v>
      </c>
      <c r="J203" s="38">
        <v>3.9714285714289872</v>
      </c>
      <c r="L203" s="38">
        <f t="shared" si="7"/>
        <v>0</v>
      </c>
      <c r="M203" s="38">
        <f t="shared" si="8"/>
        <v>2.171428571428502</v>
      </c>
    </row>
    <row r="204" spans="8:13">
      <c r="H204" s="38">
        <v>47</v>
      </c>
      <c r="I204" s="39">
        <v>43429</v>
      </c>
      <c r="J204" s="38">
        <v>2.2428571428572468</v>
      </c>
      <c r="L204" s="38">
        <f t="shared" si="7"/>
        <v>0</v>
      </c>
      <c r="M204" s="38">
        <f t="shared" si="8"/>
        <v>2.4595238095237923</v>
      </c>
    </row>
    <row r="205" spans="8:13">
      <c r="H205" s="38">
        <v>48</v>
      </c>
      <c r="I205" s="39">
        <v>43436</v>
      </c>
      <c r="J205" s="38">
        <v>-1.3428571428573508</v>
      </c>
      <c r="L205" s="38">
        <f t="shared" si="7"/>
        <v>0</v>
      </c>
      <c r="M205" s="38">
        <f t="shared" si="8"/>
        <v>3.057142857142892</v>
      </c>
    </row>
    <row r="206" spans="8:13">
      <c r="H206" s="38">
        <v>49</v>
      </c>
      <c r="I206" s="39">
        <v>43443</v>
      </c>
      <c r="J206" s="38">
        <v>5.6285714285711164</v>
      </c>
      <c r="L206" s="38">
        <f t="shared" si="7"/>
        <v>0</v>
      </c>
      <c r="M206" s="38">
        <f t="shared" si="8"/>
        <v>1.8952380952381469</v>
      </c>
    </row>
    <row r="207" spans="8:13">
      <c r="H207" s="38">
        <v>50</v>
      </c>
      <c r="I207" s="39">
        <v>43450</v>
      </c>
      <c r="J207" s="38">
        <v>-0.2857142857142857</v>
      </c>
      <c r="L207" s="38">
        <f t="shared" si="7"/>
        <v>0</v>
      </c>
      <c r="M207" s="38">
        <f t="shared" si="8"/>
        <v>2.8809523809523805</v>
      </c>
    </row>
    <row r="208" spans="8:13">
      <c r="H208" s="38">
        <v>51</v>
      </c>
      <c r="I208" s="39">
        <v>43457</v>
      </c>
      <c r="J208" s="38">
        <v>3.585714285714078</v>
      </c>
      <c r="L208" s="38">
        <f>K208*10.7/24/7*L$13</f>
        <v>0</v>
      </c>
      <c r="M208" s="38">
        <f t="shared" si="8"/>
        <v>2.2357142857143204</v>
      </c>
    </row>
    <row r="209" spans="8:13">
      <c r="H209" s="38">
        <v>52</v>
      </c>
      <c r="I209" s="39">
        <v>43464</v>
      </c>
      <c r="J209" s="38">
        <v>3.7428571428567272</v>
      </c>
      <c r="L209" s="38">
        <f>K209*10.7/24/7*L$13</f>
        <v>0</v>
      </c>
      <c r="M209" s="38">
        <f t="shared" si="8"/>
        <v>2.2095238095238785</v>
      </c>
    </row>
    <row r="210" spans="8:13">
      <c r="H210" s="38">
        <v>53</v>
      </c>
      <c r="I210" s="39">
        <v>43471</v>
      </c>
      <c r="J210" s="38">
        <v>1.8285714285713246</v>
      </c>
      <c r="L210" s="38">
        <f>K210*10.7/24/7*L$13</f>
        <v>0</v>
      </c>
      <c r="M210" s="38">
        <f t="shared" si="8"/>
        <v>2.5285714285714458</v>
      </c>
    </row>
    <row r="211" spans="8:13">
      <c r="H211" s="38">
        <v>1</v>
      </c>
      <c r="I211" s="39">
        <v>43478</v>
      </c>
      <c r="J211" s="38">
        <v>0.8142857142858182</v>
      </c>
      <c r="L211" s="38">
        <f>K211*10.7/24/7*L$13</f>
        <v>0</v>
      </c>
      <c r="M211" s="38">
        <f t="shared" si="8"/>
        <v>2.69761904761903</v>
      </c>
    </row>
    <row r="212" spans="8:13">
      <c r="H212" s="38">
        <v>2</v>
      </c>
      <c r="I212" s="39">
        <v>43485</v>
      </c>
    </row>
    <row r="213" spans="8:13">
      <c r="I213" s="39"/>
    </row>
    <row r="214" spans="8:13">
      <c r="I214" s="39"/>
    </row>
    <row r="215" spans="8:13">
      <c r="I215" s="39"/>
    </row>
    <row r="216" spans="8:13">
      <c r="I216" s="39"/>
    </row>
    <row r="217" spans="8:13">
      <c r="I217" s="39"/>
    </row>
    <row r="218" spans="8:13">
      <c r="I218" s="39"/>
    </row>
    <row r="219" spans="8:13">
      <c r="I219" s="39"/>
    </row>
    <row r="220" spans="8:13">
      <c r="I220" s="39"/>
    </row>
    <row r="221" spans="8:13">
      <c r="I221" s="39"/>
    </row>
    <row r="222" spans="8:13">
      <c r="I222" s="39"/>
    </row>
    <row r="223" spans="8:13">
      <c r="I223" s="39"/>
    </row>
    <row r="224" spans="8:13">
      <c r="I224" s="39"/>
    </row>
    <row r="225" spans="9:9">
      <c r="I225" s="39"/>
    </row>
    <row r="226" spans="9:9">
      <c r="I226" s="39"/>
    </row>
    <row r="227" spans="9:9">
      <c r="I227" s="39"/>
    </row>
    <row r="228" spans="9:9">
      <c r="I228" s="39"/>
    </row>
    <row r="229" spans="9:9">
      <c r="I229" s="39"/>
    </row>
    <row r="230" spans="9:9">
      <c r="I230" s="39"/>
    </row>
    <row r="231" spans="9:9">
      <c r="I231" s="39"/>
    </row>
    <row r="232" spans="9:9">
      <c r="I232" s="39"/>
    </row>
    <row r="233" spans="9:9">
      <c r="I233" s="39"/>
    </row>
    <row r="234" spans="9:9">
      <c r="I234" s="39"/>
    </row>
    <row r="235" spans="9:9">
      <c r="I235" s="39"/>
    </row>
    <row r="236" spans="9:9">
      <c r="I236" s="39"/>
    </row>
    <row r="237" spans="9:9">
      <c r="I237" s="39"/>
    </row>
    <row r="238" spans="9:9">
      <c r="I238" s="39"/>
    </row>
    <row r="239" spans="9:9">
      <c r="I239" s="39"/>
    </row>
    <row r="240" spans="9:9">
      <c r="I240" s="39"/>
    </row>
    <row r="241" spans="9:9">
      <c r="I241" s="39"/>
    </row>
    <row r="242" spans="9:9">
      <c r="I242" s="39"/>
    </row>
    <row r="243" spans="9:9">
      <c r="I243" s="39"/>
    </row>
    <row r="244" spans="9:9">
      <c r="I244" s="39"/>
    </row>
    <row r="245" spans="9:9">
      <c r="I245" s="39"/>
    </row>
    <row r="246" spans="9:9">
      <c r="I246" s="39"/>
    </row>
    <row r="247" spans="9:9">
      <c r="I247" s="39"/>
    </row>
    <row r="248" spans="9:9">
      <c r="I248" s="39"/>
    </row>
    <row r="249" spans="9:9">
      <c r="I249" s="39"/>
    </row>
    <row r="250" spans="9:9">
      <c r="I250" s="39"/>
    </row>
    <row r="251" spans="9:9">
      <c r="I251" s="39"/>
    </row>
    <row r="252" spans="9:9">
      <c r="I252" s="39"/>
    </row>
    <row r="253" spans="9:9">
      <c r="I253" s="39"/>
    </row>
    <row r="254" spans="9:9">
      <c r="I254" s="39"/>
    </row>
    <row r="255" spans="9:9">
      <c r="I255" s="39"/>
    </row>
    <row r="256" spans="9:9">
      <c r="I256" s="39"/>
    </row>
    <row r="257" spans="9:9">
      <c r="I257" s="39"/>
    </row>
    <row r="258" spans="9:9">
      <c r="I258" s="39"/>
    </row>
    <row r="259" spans="9:9">
      <c r="I259" s="39"/>
    </row>
    <row r="260" spans="9:9">
      <c r="I260" s="39"/>
    </row>
    <row r="261" spans="9:9">
      <c r="I261" s="39"/>
    </row>
    <row r="262" spans="9:9">
      <c r="I262" s="39"/>
    </row>
    <row r="263" spans="9:9">
      <c r="I263" s="39"/>
    </row>
    <row r="264" spans="9:9">
      <c r="I264" s="39"/>
    </row>
    <row r="265" spans="9:9">
      <c r="I265" s="39"/>
    </row>
    <row r="266" spans="9:9">
      <c r="I266" s="39"/>
    </row>
    <row r="267" spans="9:9">
      <c r="I267" s="39"/>
    </row>
    <row r="268" spans="9:9">
      <c r="I268" s="39"/>
    </row>
    <row r="269" spans="9:9">
      <c r="I269" s="39"/>
    </row>
    <row r="270" spans="9:9">
      <c r="I270" s="39"/>
    </row>
    <row r="271" spans="9:9">
      <c r="I271" s="39"/>
    </row>
    <row r="272" spans="9:9">
      <c r="I272" s="39"/>
    </row>
    <row r="273" spans="9:9">
      <c r="I273" s="39"/>
    </row>
    <row r="274" spans="9:9">
      <c r="I274" s="39"/>
    </row>
    <row r="275" spans="9:9">
      <c r="I275" s="39"/>
    </row>
    <row r="276" spans="9:9">
      <c r="I276" s="39"/>
    </row>
    <row r="277" spans="9:9">
      <c r="I277" s="39"/>
    </row>
    <row r="278" spans="9:9">
      <c r="I278" s="39"/>
    </row>
    <row r="279" spans="9:9">
      <c r="I279" s="39"/>
    </row>
    <row r="280" spans="9:9">
      <c r="I280" s="39"/>
    </row>
    <row r="281" spans="9:9">
      <c r="I281" s="39"/>
    </row>
    <row r="282" spans="9:9">
      <c r="I282" s="39"/>
    </row>
    <row r="283" spans="9:9">
      <c r="I283" s="39"/>
    </row>
    <row r="284" spans="9:9">
      <c r="I284" s="39"/>
    </row>
    <row r="285" spans="9:9">
      <c r="I285" s="39"/>
    </row>
    <row r="286" spans="9:9">
      <c r="I286" s="39"/>
    </row>
    <row r="287" spans="9:9">
      <c r="I287" s="39"/>
    </row>
    <row r="288" spans="9:9">
      <c r="I288" s="39"/>
    </row>
    <row r="289" spans="9:9">
      <c r="I289" s="39"/>
    </row>
    <row r="290" spans="9:9">
      <c r="I290" s="39"/>
    </row>
    <row r="291" spans="9:9">
      <c r="I291" s="39"/>
    </row>
    <row r="292" spans="9:9">
      <c r="I292" s="39"/>
    </row>
    <row r="293" spans="9:9">
      <c r="I293" s="39"/>
    </row>
    <row r="294" spans="9:9">
      <c r="I294" s="39"/>
    </row>
    <row r="295" spans="9:9">
      <c r="I295" s="39"/>
    </row>
    <row r="296" spans="9:9">
      <c r="I296" s="39"/>
    </row>
    <row r="297" spans="9:9">
      <c r="I297" s="39"/>
    </row>
    <row r="298" spans="9:9">
      <c r="I298" s="39"/>
    </row>
    <row r="299" spans="9:9">
      <c r="I299" s="39"/>
    </row>
    <row r="300" spans="9:9">
      <c r="I300" s="39"/>
    </row>
    <row r="301" spans="9:9">
      <c r="I301" s="39"/>
    </row>
    <row r="302" spans="9:9">
      <c r="I302" s="39"/>
    </row>
    <row r="303" spans="9:9">
      <c r="I303" s="39"/>
    </row>
    <row r="304" spans="9:9">
      <c r="I304" s="39"/>
    </row>
    <row r="305" spans="9:9">
      <c r="I305" s="39"/>
    </row>
    <row r="306" spans="9:9">
      <c r="I306" s="39"/>
    </row>
    <row r="307" spans="9:9">
      <c r="I307" s="39"/>
    </row>
    <row r="308" spans="9:9">
      <c r="I308" s="39"/>
    </row>
    <row r="309" spans="9:9">
      <c r="I309" s="39"/>
    </row>
    <row r="310" spans="9:9">
      <c r="I310" s="39"/>
    </row>
    <row r="311" spans="9:9">
      <c r="I311" s="39"/>
    </row>
    <row r="312" spans="9:9">
      <c r="I312" s="39"/>
    </row>
    <row r="313" spans="9:9">
      <c r="I313" s="39"/>
    </row>
    <row r="314" spans="9:9">
      <c r="I314" s="39"/>
    </row>
    <row r="315" spans="9:9">
      <c r="I315" s="39"/>
    </row>
    <row r="316" spans="9:9">
      <c r="I316" s="39"/>
    </row>
    <row r="317" spans="9:9">
      <c r="I317" s="39"/>
    </row>
    <row r="318" spans="9:9">
      <c r="I318" s="39"/>
    </row>
    <row r="319" spans="9:9">
      <c r="I319" s="39"/>
    </row>
    <row r="320" spans="9:9">
      <c r="I320" s="39"/>
    </row>
    <row r="321" spans="9:9">
      <c r="I321" s="39"/>
    </row>
    <row r="322" spans="9:9">
      <c r="I322" s="39"/>
    </row>
    <row r="323" spans="9:9">
      <c r="I323" s="39"/>
    </row>
    <row r="324" spans="9:9">
      <c r="I324" s="39"/>
    </row>
    <row r="325" spans="9:9">
      <c r="I325" s="39"/>
    </row>
    <row r="326" spans="9:9">
      <c r="I326" s="39"/>
    </row>
    <row r="327" spans="9:9">
      <c r="I327" s="39"/>
    </row>
    <row r="328" spans="9:9">
      <c r="I328" s="39"/>
    </row>
    <row r="329" spans="9:9">
      <c r="I329" s="39"/>
    </row>
    <row r="330" spans="9:9">
      <c r="I330" s="39"/>
    </row>
    <row r="331" spans="9:9">
      <c r="I331" s="39"/>
    </row>
    <row r="332" spans="9:9">
      <c r="I332" s="39"/>
    </row>
    <row r="333" spans="9:9">
      <c r="I333" s="39"/>
    </row>
    <row r="334" spans="9:9">
      <c r="I334" s="39"/>
    </row>
    <row r="335" spans="9:9">
      <c r="I335" s="39"/>
    </row>
    <row r="336" spans="9:9">
      <c r="I336" s="39"/>
    </row>
    <row r="337" spans="9:9">
      <c r="I337" s="39"/>
    </row>
    <row r="338" spans="9:9">
      <c r="I338" s="39"/>
    </row>
    <row r="339" spans="9:9">
      <c r="I339" s="39"/>
    </row>
    <row r="340" spans="9:9">
      <c r="I340" s="39"/>
    </row>
    <row r="341" spans="9:9">
      <c r="I341" s="39"/>
    </row>
    <row r="342" spans="9:9">
      <c r="I342" s="39"/>
    </row>
    <row r="343" spans="9:9">
      <c r="I343" s="39"/>
    </row>
    <row r="344" spans="9:9">
      <c r="I344" s="39"/>
    </row>
    <row r="345" spans="9:9">
      <c r="I345" s="39"/>
    </row>
    <row r="346" spans="9:9">
      <c r="I346" s="39"/>
    </row>
    <row r="347" spans="9:9">
      <c r="I347" s="39"/>
    </row>
    <row r="348" spans="9:9">
      <c r="I348" s="39"/>
    </row>
    <row r="349" spans="9:9">
      <c r="I349" s="39"/>
    </row>
    <row r="350" spans="9:9">
      <c r="I350" s="39"/>
    </row>
    <row r="351" spans="9:9">
      <c r="I351" s="39"/>
    </row>
    <row r="352" spans="9:9">
      <c r="I352" s="39"/>
    </row>
    <row r="353" spans="9:9">
      <c r="I353" s="39"/>
    </row>
    <row r="354" spans="9:9">
      <c r="I354" s="39"/>
    </row>
    <row r="355" spans="9:9">
      <c r="I355" s="39"/>
    </row>
    <row r="356" spans="9:9">
      <c r="I356" s="39"/>
    </row>
    <row r="357" spans="9:9">
      <c r="I357" s="39"/>
    </row>
    <row r="358" spans="9:9">
      <c r="I358" s="39"/>
    </row>
    <row r="359" spans="9:9">
      <c r="I359" s="39"/>
    </row>
    <row r="360" spans="9:9">
      <c r="I360" s="39"/>
    </row>
    <row r="361" spans="9:9">
      <c r="I361" s="39"/>
    </row>
    <row r="362" spans="9:9">
      <c r="I362" s="39"/>
    </row>
  </sheetData>
  <hyperlinks>
    <hyperlink ref="M2" r:id="rId1"/>
  </hyperlinks>
  <pageMargins left="0.7" right="0.7" top="0.78740157499999996" bottom="0.78740157499999996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135"/>
  <sheetViews>
    <sheetView zoomScale="110" zoomScaleNormal="110" workbookViewId="0">
      <selection activeCell="A2" sqref="A2"/>
    </sheetView>
  </sheetViews>
  <sheetFormatPr defaultColWidth="5.140625" defaultRowHeight="15"/>
  <cols>
    <col min="1" max="1" width="11.5703125" style="141" customWidth="1"/>
    <col min="2" max="15" width="5.140625" style="141"/>
    <col min="16" max="16" width="10" style="141" customWidth="1"/>
    <col min="17" max="16384" width="5.140625" style="141"/>
  </cols>
  <sheetData>
    <row r="1" spans="1:24" ht="15.75">
      <c r="A1" s="141" t="s">
        <v>1534</v>
      </c>
      <c r="B1" s="158" t="s">
        <v>1021</v>
      </c>
      <c r="V1" s="141">
        <v>1.1000000000000001</v>
      </c>
      <c r="W1" s="144">
        <v>0.6</v>
      </c>
      <c r="X1" s="141" t="s">
        <v>1011</v>
      </c>
    </row>
    <row r="2" spans="1:24">
      <c r="Q2" s="141" t="s">
        <v>1020</v>
      </c>
      <c r="V2" s="141">
        <v>7</v>
      </c>
      <c r="W2" s="144">
        <v>3</v>
      </c>
      <c r="X2" s="141" t="s">
        <v>56</v>
      </c>
    </row>
    <row r="3" spans="1:24">
      <c r="I3" s="141" t="s">
        <v>1019</v>
      </c>
      <c r="O3" s="144">
        <v>362</v>
      </c>
      <c r="P3" s="141" t="s">
        <v>996</v>
      </c>
      <c r="Q3" s="141">
        <f>0.65*(O3-280)/-100</f>
        <v>-0.53300000000000003</v>
      </c>
      <c r="R3" s="141" t="s">
        <v>413</v>
      </c>
      <c r="W3" s="144">
        <v>10</v>
      </c>
      <c r="X3" s="141" t="s">
        <v>107</v>
      </c>
    </row>
    <row r="4" spans="1:24">
      <c r="P4" s="142"/>
      <c r="Q4" s="142" t="s">
        <v>312</v>
      </c>
      <c r="R4" s="141" t="s">
        <v>1018</v>
      </c>
      <c r="S4" s="141" t="s">
        <v>1017</v>
      </c>
      <c r="T4" s="141" t="s">
        <v>1016</v>
      </c>
      <c r="U4" s="141" t="s">
        <v>1015</v>
      </c>
      <c r="V4" s="141" t="s">
        <v>67</v>
      </c>
      <c r="W4" s="141" t="s">
        <v>65</v>
      </c>
      <c r="X4" s="141" t="s">
        <v>1014</v>
      </c>
    </row>
    <row r="5" spans="1:24">
      <c r="C5" s="141">
        <v>1</v>
      </c>
      <c r="D5" s="141">
        <v>2</v>
      </c>
      <c r="E5" s="141">
        <v>3</v>
      </c>
      <c r="F5" s="141">
        <v>4</v>
      </c>
      <c r="G5" s="141">
        <v>5</v>
      </c>
      <c r="H5" s="141">
        <v>6</v>
      </c>
      <c r="I5" s="141">
        <v>7</v>
      </c>
      <c r="J5" s="141">
        <v>8</v>
      </c>
      <c r="K5" s="141">
        <v>9</v>
      </c>
      <c r="L5" s="141">
        <v>10</v>
      </c>
      <c r="M5" s="141">
        <v>11</v>
      </c>
      <c r="N5" s="141">
        <v>12</v>
      </c>
      <c r="P5" s="142">
        <v>42005</v>
      </c>
      <c r="Q5" s="142"/>
      <c r="R5" s="141">
        <v>3567</v>
      </c>
      <c r="S5" s="141">
        <v>345</v>
      </c>
    </row>
    <row r="6" spans="1:24">
      <c r="A6" s="141">
        <v>2015</v>
      </c>
      <c r="P6" s="142">
        <v>42036</v>
      </c>
      <c r="Q6" s="142"/>
      <c r="R6" s="141">
        <v>4333</v>
      </c>
      <c r="S6" s="141">
        <v>409</v>
      </c>
      <c r="T6" s="141">
        <f t="shared" ref="T6:T52" si="0">(R6-R5)/($P6-$P5)/24</f>
        <v>1.0295698924731183</v>
      </c>
      <c r="U6" s="141">
        <f t="shared" ref="U6:U52" si="1">(S6-S5)/($P6-$P5)/24</f>
        <v>8.6021505376344079E-2</v>
      </c>
      <c r="V6" s="141">
        <f t="shared" ref="V6:V52" si="2">T6+U6</f>
        <v>1.1155913978494623</v>
      </c>
      <c r="X6" s="141">
        <f t="shared" ref="X6:X52" si="3">U6/T6</f>
        <v>8.3550913838120106E-2</v>
      </c>
    </row>
    <row r="7" spans="1:24">
      <c r="A7" s="141" t="s">
        <v>1013</v>
      </c>
      <c r="B7" s="155">
        <v>1600</v>
      </c>
      <c r="C7" s="155">
        <v>3567</v>
      </c>
      <c r="D7" s="155">
        <v>4333</v>
      </c>
      <c r="E7" s="155">
        <v>4996</v>
      </c>
      <c r="F7" s="155">
        <v>5440</v>
      </c>
      <c r="G7" s="155">
        <v>5744</v>
      </c>
      <c r="H7" s="155">
        <v>6009</v>
      </c>
      <c r="I7" s="155">
        <v>6231</v>
      </c>
      <c r="J7" s="155">
        <v>6605</v>
      </c>
      <c r="K7" s="155">
        <v>6961</v>
      </c>
      <c r="L7" s="155">
        <v>7482</v>
      </c>
      <c r="M7" s="155">
        <v>8089</v>
      </c>
      <c r="N7" s="155">
        <v>8788</v>
      </c>
      <c r="P7" s="142">
        <v>42064</v>
      </c>
      <c r="Q7" s="142"/>
      <c r="R7" s="141">
        <v>4996</v>
      </c>
      <c r="S7" s="141">
        <v>478</v>
      </c>
      <c r="T7" s="141">
        <f t="shared" si="0"/>
        <v>0.98660714285714279</v>
      </c>
      <c r="U7" s="141">
        <f t="shared" si="1"/>
        <v>0.10267857142857144</v>
      </c>
      <c r="V7" s="141">
        <f t="shared" si="2"/>
        <v>1.0892857142857142</v>
      </c>
      <c r="W7" s="152">
        <f t="shared" ref="W7:W38" si="4">IF(Q7+Q$3-W$3&lt;0,(W$3-Q7-Q$3)*W$2/30,)+W$1</f>
        <v>1.6532999999999998</v>
      </c>
      <c r="X7" s="141">
        <f t="shared" si="3"/>
        <v>0.10407239819004527</v>
      </c>
    </row>
    <row r="8" spans="1:24">
      <c r="A8" s="141" t="s">
        <v>1012</v>
      </c>
      <c r="B8" s="155">
        <v>184</v>
      </c>
      <c r="C8" s="155">
        <v>345</v>
      </c>
      <c r="D8" s="155">
        <v>409</v>
      </c>
      <c r="E8" s="155">
        <v>478</v>
      </c>
      <c r="F8" s="155">
        <v>544</v>
      </c>
      <c r="G8" s="155">
        <v>570</v>
      </c>
      <c r="H8" s="155">
        <v>596</v>
      </c>
      <c r="I8" s="155">
        <v>620</v>
      </c>
      <c r="J8" s="155">
        <v>662</v>
      </c>
      <c r="K8" s="155">
        <v>702</v>
      </c>
      <c r="L8" s="155">
        <v>760</v>
      </c>
      <c r="M8" s="155">
        <v>820</v>
      </c>
      <c r="N8" s="155">
        <v>886</v>
      </c>
      <c r="P8" s="142">
        <v>42095</v>
      </c>
      <c r="Q8" s="141">
        <v>9.2499999999999982</v>
      </c>
      <c r="R8" s="141">
        <v>5440</v>
      </c>
      <c r="S8" s="141">
        <v>544</v>
      </c>
      <c r="T8" s="141">
        <f t="shared" si="0"/>
        <v>0.59677419354838712</v>
      </c>
      <c r="U8" s="141">
        <f t="shared" si="1"/>
        <v>8.8709677419354829E-2</v>
      </c>
      <c r="V8" s="141">
        <f t="shared" si="2"/>
        <v>0.68548387096774199</v>
      </c>
      <c r="W8" s="152">
        <f t="shared" si="4"/>
        <v>0.72830000000000017</v>
      </c>
      <c r="X8" s="141">
        <f t="shared" si="3"/>
        <v>0.14864864864864863</v>
      </c>
    </row>
    <row r="9" spans="1:24">
      <c r="P9" s="142">
        <v>42125</v>
      </c>
      <c r="Q9" s="141">
        <v>13.748387096774204</v>
      </c>
      <c r="R9" s="141">
        <v>5744</v>
      </c>
      <c r="S9" s="141">
        <v>570</v>
      </c>
      <c r="T9" s="141">
        <f t="shared" si="0"/>
        <v>0.42222222222222222</v>
      </c>
      <c r="U9" s="141">
        <f t="shared" si="1"/>
        <v>3.6111111111111115E-2</v>
      </c>
      <c r="V9" s="141">
        <f t="shared" si="2"/>
        <v>0.45833333333333331</v>
      </c>
      <c r="W9" s="152">
        <f t="shared" si="4"/>
        <v>0.6</v>
      </c>
      <c r="X9" s="141">
        <f t="shared" si="3"/>
        <v>8.5526315789473686E-2</v>
      </c>
    </row>
    <row r="10" spans="1:24">
      <c r="A10" s="141">
        <v>2016</v>
      </c>
      <c r="P10" s="142">
        <v>42156</v>
      </c>
      <c r="Q10" s="141">
        <v>17.11</v>
      </c>
      <c r="R10" s="141">
        <v>6009</v>
      </c>
      <c r="S10" s="141">
        <v>596</v>
      </c>
      <c r="T10" s="141">
        <f t="shared" si="0"/>
        <v>0.35618279569892475</v>
      </c>
      <c r="U10" s="141">
        <f t="shared" si="1"/>
        <v>3.4946236559139789E-2</v>
      </c>
      <c r="V10" s="141">
        <f t="shared" si="2"/>
        <v>0.39112903225806456</v>
      </c>
      <c r="W10" s="152">
        <f t="shared" si="4"/>
        <v>0.6</v>
      </c>
      <c r="X10" s="141">
        <f t="shared" si="3"/>
        <v>9.8113207547169817E-2</v>
      </c>
    </row>
    <row r="11" spans="1:24">
      <c r="B11" s="155">
        <v>8788</v>
      </c>
      <c r="C11" s="156">
        <v>9934</v>
      </c>
      <c r="D11" s="155">
        <v>10594</v>
      </c>
      <c r="E11" s="155">
        <v>11069</v>
      </c>
      <c r="F11" s="153">
        <v>11481.442748091604</v>
      </c>
      <c r="G11" s="153">
        <v>11893.885496183208</v>
      </c>
      <c r="H11" s="153">
        <v>12306.328244274811</v>
      </c>
      <c r="I11" s="153">
        <v>12718.770992366415</v>
      </c>
      <c r="J11" s="155">
        <v>13200</v>
      </c>
      <c r="K11" s="155">
        <v>13600</v>
      </c>
      <c r="L11" s="155">
        <v>14000</v>
      </c>
      <c r="M11" s="155">
        <v>14700</v>
      </c>
      <c r="N11" s="155">
        <v>15480</v>
      </c>
      <c r="P11" s="142">
        <v>42186</v>
      </c>
      <c r="Q11" s="141">
        <v>21.29032258064516</v>
      </c>
      <c r="R11" s="141">
        <v>6231</v>
      </c>
      <c r="S11" s="141">
        <v>620</v>
      </c>
      <c r="T11" s="141">
        <f t="shared" si="0"/>
        <v>0.30833333333333335</v>
      </c>
      <c r="U11" s="141">
        <f t="shared" si="1"/>
        <v>3.3333333333333333E-2</v>
      </c>
      <c r="V11" s="141">
        <f t="shared" si="2"/>
        <v>0.34166666666666667</v>
      </c>
      <c r="W11" s="152">
        <f t="shared" si="4"/>
        <v>0.6</v>
      </c>
      <c r="X11" s="141">
        <f t="shared" si="3"/>
        <v>0.1081081081081081</v>
      </c>
    </row>
    <row r="12" spans="1:24">
      <c r="B12" s="155">
        <v>886</v>
      </c>
      <c r="C12" s="156">
        <v>964</v>
      </c>
      <c r="D12" s="155">
        <v>1028</v>
      </c>
      <c r="E12" s="155">
        <v>1107</v>
      </c>
      <c r="F12" s="153">
        <v>1143.7557251908397</v>
      </c>
      <c r="G12" s="153">
        <v>1180.5114503816794</v>
      </c>
      <c r="H12" s="153">
        <v>1217.2671755725191</v>
      </c>
      <c r="I12" s="153">
        <v>1254.0229007633588</v>
      </c>
      <c r="J12" s="155">
        <v>1300</v>
      </c>
      <c r="K12" s="155">
        <v>1330</v>
      </c>
      <c r="L12" s="155">
        <v>1380</v>
      </c>
      <c r="M12" s="155">
        <v>1440</v>
      </c>
      <c r="N12" s="155">
        <v>1502</v>
      </c>
      <c r="P12" s="142">
        <v>42217</v>
      </c>
      <c r="Q12" s="141">
        <v>22.480645161290347</v>
      </c>
      <c r="R12" s="141">
        <v>6605</v>
      </c>
      <c r="S12" s="141">
        <v>662</v>
      </c>
      <c r="T12" s="141">
        <f t="shared" si="0"/>
        <v>0.50268817204301075</v>
      </c>
      <c r="U12" s="141">
        <f t="shared" si="1"/>
        <v>5.6451612903225805E-2</v>
      </c>
      <c r="V12" s="141">
        <f t="shared" si="2"/>
        <v>0.55913978494623651</v>
      </c>
      <c r="W12" s="152">
        <f t="shared" si="4"/>
        <v>0.6</v>
      </c>
      <c r="X12" s="141">
        <f t="shared" si="3"/>
        <v>0.1122994652406417</v>
      </c>
    </row>
    <row r="13" spans="1:24">
      <c r="P13" s="142">
        <v>42248</v>
      </c>
      <c r="Q13" s="141">
        <v>14.083333333333348</v>
      </c>
      <c r="R13" s="141">
        <v>6961</v>
      </c>
      <c r="S13" s="141">
        <v>702</v>
      </c>
      <c r="T13" s="141">
        <f t="shared" si="0"/>
        <v>0.478494623655914</v>
      </c>
      <c r="U13" s="141">
        <f t="shared" si="1"/>
        <v>5.3763440860215055E-2</v>
      </c>
      <c r="V13" s="141">
        <f t="shared" si="2"/>
        <v>0.532258064516129</v>
      </c>
      <c r="W13" s="152">
        <f t="shared" si="4"/>
        <v>0.6</v>
      </c>
      <c r="X13" s="141">
        <f t="shared" si="3"/>
        <v>0.11235955056179775</v>
      </c>
    </row>
    <row r="14" spans="1:24">
      <c r="A14" s="141">
        <v>2017</v>
      </c>
      <c r="P14" s="142">
        <v>42278</v>
      </c>
      <c r="Q14" s="141">
        <v>8.6580645161290359</v>
      </c>
      <c r="R14" s="141">
        <v>7482</v>
      </c>
      <c r="S14" s="141">
        <v>760</v>
      </c>
      <c r="T14" s="141">
        <f t="shared" si="0"/>
        <v>0.72361111111111109</v>
      </c>
      <c r="U14" s="141">
        <f t="shared" si="1"/>
        <v>8.0555555555555561E-2</v>
      </c>
      <c r="V14" s="141">
        <f t="shared" si="2"/>
        <v>0.8041666666666667</v>
      </c>
      <c r="W14" s="152">
        <f t="shared" si="4"/>
        <v>0.7874935483870964</v>
      </c>
      <c r="X14" s="141">
        <f t="shared" si="3"/>
        <v>0.11132437619961613</v>
      </c>
    </row>
    <row r="15" spans="1:24">
      <c r="B15" s="157">
        <v>15480</v>
      </c>
      <c r="C15" s="155">
        <v>17000</v>
      </c>
      <c r="D15" s="156">
        <v>18305</v>
      </c>
      <c r="E15" s="155">
        <v>18843</v>
      </c>
      <c r="F15" s="155">
        <v>19349</v>
      </c>
      <c r="G15" s="153">
        <v>19800</v>
      </c>
      <c r="H15" s="153">
        <v>20222</v>
      </c>
      <c r="I15" s="153">
        <v>20545</v>
      </c>
      <c r="J15" s="153">
        <v>20837</v>
      </c>
      <c r="K15" s="155">
        <v>21122</v>
      </c>
      <c r="L15" s="155">
        <v>21640</v>
      </c>
      <c r="M15" s="155">
        <v>22317</v>
      </c>
      <c r="N15" s="155">
        <v>23020</v>
      </c>
      <c r="P15" s="142">
        <v>42309</v>
      </c>
      <c r="Q15" s="141">
        <v>6.8866666666666028</v>
      </c>
      <c r="R15" s="141">
        <v>8089</v>
      </c>
      <c r="S15" s="141">
        <v>820</v>
      </c>
      <c r="T15" s="141">
        <f t="shared" si="0"/>
        <v>0.81586021505376349</v>
      </c>
      <c r="U15" s="141">
        <f t="shared" si="1"/>
        <v>8.0645161290322578E-2</v>
      </c>
      <c r="V15" s="141">
        <f t="shared" si="2"/>
        <v>0.89650537634408611</v>
      </c>
      <c r="W15" s="152">
        <f t="shared" si="4"/>
        <v>0.96463333333333967</v>
      </c>
      <c r="X15" s="141">
        <f t="shared" si="3"/>
        <v>9.8846787479406908E-2</v>
      </c>
    </row>
    <row r="16" spans="1:24">
      <c r="B16" s="157">
        <v>1502</v>
      </c>
      <c r="C16" s="155">
        <v>1630</v>
      </c>
      <c r="D16" s="156">
        <v>1697</v>
      </c>
      <c r="E16" s="155">
        <v>1746</v>
      </c>
      <c r="F16" s="155">
        <v>1800</v>
      </c>
      <c r="G16" s="153">
        <v>1850</v>
      </c>
      <c r="H16" s="153">
        <v>1895</v>
      </c>
      <c r="I16" s="153">
        <v>1926</v>
      </c>
      <c r="J16" s="153">
        <v>1961</v>
      </c>
      <c r="K16" s="155">
        <v>1999</v>
      </c>
      <c r="L16" s="155">
        <v>2062</v>
      </c>
      <c r="M16" s="155">
        <v>2121</v>
      </c>
      <c r="N16" s="155">
        <v>2179</v>
      </c>
      <c r="P16" s="142">
        <v>42339</v>
      </c>
      <c r="Q16" s="141">
        <v>4.9032258064516272</v>
      </c>
      <c r="R16" s="141">
        <v>8788</v>
      </c>
      <c r="S16" s="141">
        <v>886</v>
      </c>
      <c r="T16" s="141">
        <f t="shared" si="0"/>
        <v>0.97083333333333333</v>
      </c>
      <c r="U16" s="141">
        <f t="shared" si="1"/>
        <v>9.1666666666666674E-2</v>
      </c>
      <c r="V16" s="141">
        <f t="shared" si="2"/>
        <v>1.0625</v>
      </c>
      <c r="W16" s="152">
        <f t="shared" si="4"/>
        <v>1.1629774193548372</v>
      </c>
      <c r="X16" s="141">
        <f t="shared" si="3"/>
        <v>9.4420600858369105E-2</v>
      </c>
    </row>
    <row r="17" spans="1:24">
      <c r="P17" s="142">
        <v>42370</v>
      </c>
      <c r="Q17" s="141">
        <v>-0.25483870967740763</v>
      </c>
      <c r="R17" s="141">
        <v>9934</v>
      </c>
      <c r="S17" s="141">
        <v>964</v>
      </c>
      <c r="T17" s="141">
        <f t="shared" si="0"/>
        <v>1.5403225806451613</v>
      </c>
      <c r="U17" s="141">
        <f t="shared" si="1"/>
        <v>0.10483870967741936</v>
      </c>
      <c r="V17" s="141">
        <f t="shared" si="2"/>
        <v>1.6451612903225805</v>
      </c>
      <c r="W17" s="152">
        <f t="shared" si="4"/>
        <v>1.6787838709677407</v>
      </c>
      <c r="X17" s="141">
        <f t="shared" si="3"/>
        <v>6.8062827225130892E-2</v>
      </c>
    </row>
    <row r="18" spans="1:24">
      <c r="A18" s="141">
        <v>2018</v>
      </c>
      <c r="P18" s="142">
        <v>42401</v>
      </c>
      <c r="Q18" s="141">
        <v>3.4034482758620785</v>
      </c>
      <c r="R18" s="141">
        <v>10594</v>
      </c>
      <c r="S18" s="141">
        <v>1028</v>
      </c>
      <c r="T18" s="141">
        <f t="shared" si="0"/>
        <v>0.88709677419354838</v>
      </c>
      <c r="U18" s="141">
        <f t="shared" si="1"/>
        <v>8.6021505376344079E-2</v>
      </c>
      <c r="V18" s="141">
        <f t="shared" si="2"/>
        <v>0.9731182795698925</v>
      </c>
      <c r="W18" s="152">
        <f t="shared" si="4"/>
        <v>1.3129551724137922</v>
      </c>
      <c r="X18" s="141">
        <f t="shared" si="3"/>
        <v>9.696969696969697E-2</v>
      </c>
    </row>
    <row r="19" spans="1:24">
      <c r="B19" s="157">
        <v>23020</v>
      </c>
      <c r="C19" s="155">
        <v>24022</v>
      </c>
      <c r="D19" s="156">
        <v>25168</v>
      </c>
      <c r="E19" s="155">
        <v>25982</v>
      </c>
      <c r="F19" s="155">
        <v>26400</v>
      </c>
      <c r="G19" s="153">
        <v>26800</v>
      </c>
      <c r="H19" s="153">
        <v>27200</v>
      </c>
      <c r="I19" s="153">
        <v>27600</v>
      </c>
      <c r="J19" s="153">
        <v>28000</v>
      </c>
      <c r="K19" s="155">
        <v>28400</v>
      </c>
      <c r="L19" s="155">
        <v>28800</v>
      </c>
      <c r="M19" s="155">
        <v>29400</v>
      </c>
      <c r="N19" s="155">
        <v>30183</v>
      </c>
      <c r="P19" s="142">
        <v>42430</v>
      </c>
      <c r="Q19" s="141">
        <v>4.4032258064515979</v>
      </c>
      <c r="R19" s="141">
        <v>11069</v>
      </c>
      <c r="S19" s="141">
        <v>1107</v>
      </c>
      <c r="T19" s="141">
        <f t="shared" si="0"/>
        <v>0.68247126436781613</v>
      </c>
      <c r="U19" s="141">
        <f t="shared" si="1"/>
        <v>0.11350574712643678</v>
      </c>
      <c r="V19" s="141">
        <f t="shared" si="2"/>
        <v>0.79597701149425293</v>
      </c>
      <c r="W19" s="152">
        <f t="shared" si="4"/>
        <v>1.2129774193548402</v>
      </c>
      <c r="X19" s="141">
        <f t="shared" si="3"/>
        <v>0.16631578947368419</v>
      </c>
    </row>
    <row r="20" spans="1:24">
      <c r="B20" s="157">
        <v>2179</v>
      </c>
      <c r="C20" s="155">
        <v>2265</v>
      </c>
      <c r="D20" s="156">
        <v>2341</v>
      </c>
      <c r="E20" s="155">
        <v>2412</v>
      </c>
      <c r="F20" s="155">
        <v>2450</v>
      </c>
      <c r="G20" s="153">
        <v>2480</v>
      </c>
      <c r="H20" s="153">
        <v>2515</v>
      </c>
      <c r="I20" s="153">
        <v>2560</v>
      </c>
      <c r="J20" s="153">
        <v>2600</v>
      </c>
      <c r="K20" s="155">
        <v>2650</v>
      </c>
      <c r="L20" s="155">
        <v>2700</v>
      </c>
      <c r="M20" s="155">
        <v>2750</v>
      </c>
      <c r="N20" s="155">
        <v>2817</v>
      </c>
      <c r="P20" s="142">
        <v>42461</v>
      </c>
      <c r="Q20" s="141">
        <v>9.0266666666666584</v>
      </c>
      <c r="R20" s="141">
        <v>11481.442748091604</v>
      </c>
      <c r="S20" s="141">
        <v>1143.7557251908397</v>
      </c>
      <c r="T20" s="141">
        <f t="shared" si="0"/>
        <v>0.55435853238118782</v>
      </c>
      <c r="U20" s="141">
        <f t="shared" si="1"/>
        <v>4.9402856439300695E-2</v>
      </c>
      <c r="V20" s="141">
        <f t="shared" si="2"/>
        <v>0.60376138882048846</v>
      </c>
      <c r="W20" s="152">
        <f t="shared" si="4"/>
        <v>0.75063333333333415</v>
      </c>
      <c r="X20" s="141">
        <f t="shared" si="3"/>
        <v>8.9117157134924949E-2</v>
      </c>
    </row>
    <row r="21" spans="1:24">
      <c r="P21" s="142">
        <v>42491</v>
      </c>
      <c r="Q21" s="141">
        <v>14.625806451612892</v>
      </c>
      <c r="R21" s="141">
        <v>11893.885496183208</v>
      </c>
      <c r="S21" s="141">
        <v>1180.5114503816794</v>
      </c>
      <c r="T21" s="141">
        <f t="shared" si="0"/>
        <v>0.57283715012722747</v>
      </c>
      <c r="U21" s="141">
        <f t="shared" si="1"/>
        <v>5.1049618320610717E-2</v>
      </c>
      <c r="V21" s="141">
        <f t="shared" si="2"/>
        <v>0.62388676844783819</v>
      </c>
      <c r="W21" s="152">
        <f t="shared" si="4"/>
        <v>0.6</v>
      </c>
      <c r="X21" s="141">
        <f t="shared" si="3"/>
        <v>8.9117157134924935E-2</v>
      </c>
    </row>
    <row r="22" spans="1:24">
      <c r="P22" s="142">
        <v>42522</v>
      </c>
      <c r="Q22" s="141">
        <v>18.486666666666618</v>
      </c>
      <c r="R22" s="141">
        <v>12306.328244274811</v>
      </c>
      <c r="S22" s="141">
        <v>1217.2671755725191</v>
      </c>
      <c r="T22" s="141">
        <f t="shared" si="0"/>
        <v>0.55435853238118782</v>
      </c>
      <c r="U22" s="141">
        <f t="shared" si="1"/>
        <v>4.9402856439300695E-2</v>
      </c>
      <c r="V22" s="141">
        <f t="shared" si="2"/>
        <v>0.60376138882048846</v>
      </c>
      <c r="W22" s="152">
        <f t="shared" si="4"/>
        <v>0.6</v>
      </c>
      <c r="X22" s="141">
        <f t="shared" si="3"/>
        <v>8.9117157134924949E-2</v>
      </c>
    </row>
    <row r="23" spans="1:24">
      <c r="A23" s="142">
        <v>42005</v>
      </c>
      <c r="B23" s="141">
        <f>C7</f>
        <v>3567</v>
      </c>
      <c r="P23" s="142">
        <v>42552</v>
      </c>
      <c r="Q23" s="141">
        <v>19.922580645161272</v>
      </c>
      <c r="R23" s="141">
        <v>12718.770992366415</v>
      </c>
      <c r="S23" s="141">
        <v>1254.0229007633588</v>
      </c>
      <c r="T23" s="141">
        <f t="shared" si="0"/>
        <v>0.57283715012722747</v>
      </c>
      <c r="U23" s="141">
        <f t="shared" si="1"/>
        <v>5.1049618320610717E-2</v>
      </c>
      <c r="V23" s="141">
        <f t="shared" si="2"/>
        <v>0.62388676844783819</v>
      </c>
      <c r="W23" s="152">
        <f t="shared" si="4"/>
        <v>0.6</v>
      </c>
      <c r="X23" s="141">
        <f t="shared" si="3"/>
        <v>8.9117157134924935E-2</v>
      </c>
    </row>
    <row r="24" spans="1:24">
      <c r="A24" s="142">
        <v>42005</v>
      </c>
      <c r="B24" s="141">
        <f>C8</f>
        <v>345</v>
      </c>
      <c r="P24" s="142">
        <v>42583</v>
      </c>
      <c r="Q24" s="141">
        <v>18.554838709677444</v>
      </c>
      <c r="R24" s="141">
        <v>13200</v>
      </c>
      <c r="S24" s="141">
        <v>1300</v>
      </c>
      <c r="T24" s="141">
        <f t="shared" si="0"/>
        <v>0.64681318230320539</v>
      </c>
      <c r="U24" s="141">
        <f t="shared" si="1"/>
        <v>6.1797176393334881E-2</v>
      </c>
      <c r="V24" s="141">
        <f t="shared" si="2"/>
        <v>0.70861035869654032</v>
      </c>
      <c r="W24" s="152">
        <f t="shared" si="4"/>
        <v>0.6</v>
      </c>
      <c r="X24" s="141">
        <f t="shared" si="3"/>
        <v>9.5540997128853097E-2</v>
      </c>
    </row>
    <row r="25" spans="1:24">
      <c r="A25" s="142">
        <v>42036</v>
      </c>
      <c r="B25" s="141">
        <f>D8</f>
        <v>409</v>
      </c>
      <c r="P25" s="142">
        <v>42614</v>
      </c>
      <c r="Q25" s="141">
        <v>17.559999999999945</v>
      </c>
      <c r="R25" s="141">
        <v>13600</v>
      </c>
      <c r="S25" s="141">
        <v>1330</v>
      </c>
      <c r="T25" s="141">
        <f t="shared" si="0"/>
        <v>0.5376344086021505</v>
      </c>
      <c r="U25" s="141">
        <f t="shared" si="1"/>
        <v>4.0322580645161289E-2</v>
      </c>
      <c r="V25" s="141">
        <f t="shared" si="2"/>
        <v>0.57795698924731176</v>
      </c>
      <c r="W25" s="152">
        <f t="shared" si="4"/>
        <v>0.6</v>
      </c>
      <c r="X25" s="141">
        <f t="shared" si="3"/>
        <v>7.4999999999999997E-2</v>
      </c>
    </row>
    <row r="26" spans="1:24">
      <c r="A26" s="142">
        <v>42005</v>
      </c>
      <c r="B26" s="141">
        <f>C10</f>
        <v>0</v>
      </c>
      <c r="P26" s="142">
        <v>42644</v>
      </c>
      <c r="Q26" s="141">
        <v>8.4258064516128393</v>
      </c>
      <c r="R26" s="141">
        <v>14000</v>
      </c>
      <c r="S26" s="141">
        <v>1380</v>
      </c>
      <c r="T26" s="141">
        <f t="shared" si="0"/>
        <v>0.55555555555555558</v>
      </c>
      <c r="U26" s="141">
        <f t="shared" si="1"/>
        <v>6.9444444444444448E-2</v>
      </c>
      <c r="V26" s="141">
        <f t="shared" si="2"/>
        <v>0.625</v>
      </c>
      <c r="W26" s="152">
        <f t="shared" si="4"/>
        <v>0.81071935483871604</v>
      </c>
      <c r="X26" s="141">
        <f t="shared" si="3"/>
        <v>0.125</v>
      </c>
    </row>
    <row r="27" spans="1:24">
      <c r="A27" s="142">
        <v>42005</v>
      </c>
      <c r="B27" s="141">
        <f>C11</f>
        <v>9934</v>
      </c>
      <c r="P27" s="142">
        <v>42675</v>
      </c>
      <c r="Q27" s="141">
        <v>3.2900000000000245</v>
      </c>
      <c r="R27" s="141">
        <v>14700</v>
      </c>
      <c r="S27" s="141">
        <v>1440</v>
      </c>
      <c r="T27" s="141">
        <f t="shared" si="0"/>
        <v>0.94086021505376349</v>
      </c>
      <c r="U27" s="141">
        <f t="shared" si="1"/>
        <v>8.0645161290322578E-2</v>
      </c>
      <c r="V27" s="141">
        <f t="shared" si="2"/>
        <v>1.021505376344086</v>
      </c>
      <c r="W27" s="152">
        <f t="shared" si="4"/>
        <v>1.3242999999999976</v>
      </c>
      <c r="X27" s="141">
        <f t="shared" si="3"/>
        <v>8.5714285714285701E-2</v>
      </c>
    </row>
    <row r="28" spans="1:24">
      <c r="A28" s="142">
        <v>42005</v>
      </c>
      <c r="B28" s="141">
        <f>C12</f>
        <v>964</v>
      </c>
      <c r="P28" s="142">
        <v>42705</v>
      </c>
      <c r="Q28" s="141">
        <v>0.53548387096778305</v>
      </c>
      <c r="R28" s="141">
        <v>15480</v>
      </c>
      <c r="S28" s="141">
        <v>1502</v>
      </c>
      <c r="T28" s="141">
        <f t="shared" si="0"/>
        <v>1.0833333333333333</v>
      </c>
      <c r="U28" s="141">
        <f t="shared" si="1"/>
        <v>8.6111111111111124E-2</v>
      </c>
      <c r="V28" s="141">
        <f t="shared" si="2"/>
        <v>1.1694444444444443</v>
      </c>
      <c r="W28" s="152">
        <f t="shared" si="4"/>
        <v>1.5997516129032217</v>
      </c>
      <c r="X28" s="141">
        <f t="shared" si="3"/>
        <v>7.948717948717951E-2</v>
      </c>
    </row>
    <row r="29" spans="1:24">
      <c r="A29" s="142">
        <v>42036</v>
      </c>
      <c r="B29" s="141">
        <f>D12</f>
        <v>1028</v>
      </c>
      <c r="P29" s="142">
        <v>42736</v>
      </c>
      <c r="Q29" s="141">
        <v>-4.5935483870967921</v>
      </c>
      <c r="R29" s="141">
        <v>17000</v>
      </c>
      <c r="S29" s="141">
        <v>1630</v>
      </c>
      <c r="T29" s="141">
        <f t="shared" si="0"/>
        <v>2.043010752688172</v>
      </c>
      <c r="U29" s="141">
        <f t="shared" si="1"/>
        <v>0.17204301075268816</v>
      </c>
      <c r="V29" s="141">
        <f t="shared" si="2"/>
        <v>2.21505376344086</v>
      </c>
      <c r="W29" s="152">
        <f t="shared" si="4"/>
        <v>2.1126548387096791</v>
      </c>
      <c r="X29" s="141">
        <f t="shared" si="3"/>
        <v>8.4210526315789472E-2</v>
      </c>
    </row>
    <row r="30" spans="1:24">
      <c r="A30" s="142">
        <v>42064</v>
      </c>
      <c r="B30" s="141">
        <f>E12</f>
        <v>1107</v>
      </c>
      <c r="P30" s="142">
        <v>42767</v>
      </c>
      <c r="Q30" s="141">
        <v>2.2964285714285455</v>
      </c>
      <c r="R30" s="141">
        <v>18305</v>
      </c>
      <c r="S30" s="141">
        <v>1697</v>
      </c>
      <c r="T30" s="141">
        <f t="shared" si="0"/>
        <v>1.754032258064516</v>
      </c>
      <c r="U30" s="141">
        <f t="shared" si="1"/>
        <v>9.0053763440860204E-2</v>
      </c>
      <c r="V30" s="141">
        <f t="shared" si="2"/>
        <v>1.8440860215053763</v>
      </c>
      <c r="W30" s="152">
        <f t="shared" si="4"/>
        <v>1.4236571428571454</v>
      </c>
      <c r="X30" s="141">
        <f t="shared" si="3"/>
        <v>5.134099616858237E-2</v>
      </c>
    </row>
    <row r="31" spans="1:24">
      <c r="A31" s="142">
        <v>42005</v>
      </c>
      <c r="B31" s="141">
        <f>C15</f>
        <v>17000</v>
      </c>
      <c r="P31" s="142">
        <v>42795</v>
      </c>
      <c r="Q31" s="141">
        <v>7.5483870967742233</v>
      </c>
      <c r="R31" s="141">
        <v>18843</v>
      </c>
      <c r="S31" s="141">
        <v>1746</v>
      </c>
      <c r="T31" s="141">
        <f t="shared" si="0"/>
        <v>0.80059523809523814</v>
      </c>
      <c r="U31" s="141">
        <f t="shared" si="1"/>
        <v>7.2916666666666671E-2</v>
      </c>
      <c r="V31" s="141">
        <f t="shared" si="2"/>
        <v>0.87351190476190477</v>
      </c>
      <c r="W31" s="152">
        <f t="shared" si="4"/>
        <v>0.89846129032257771</v>
      </c>
      <c r="X31" s="141">
        <f t="shared" si="3"/>
        <v>9.1078066914498143E-2</v>
      </c>
    </row>
    <row r="32" spans="1:24">
      <c r="A32" s="142">
        <v>42005</v>
      </c>
      <c r="B32" s="141">
        <f>C16</f>
        <v>1630</v>
      </c>
      <c r="P32" s="142">
        <v>42826</v>
      </c>
      <c r="Q32" s="141">
        <v>8.0766666666666733</v>
      </c>
      <c r="R32" s="141">
        <v>19349</v>
      </c>
      <c r="S32" s="141">
        <v>1800</v>
      </c>
      <c r="T32" s="141">
        <f t="shared" si="0"/>
        <v>0.68010752688172049</v>
      </c>
      <c r="U32" s="141">
        <f t="shared" si="1"/>
        <v>7.2580645161290328E-2</v>
      </c>
      <c r="V32" s="141">
        <f t="shared" si="2"/>
        <v>0.75268817204301086</v>
      </c>
      <c r="W32" s="152">
        <f t="shared" si="4"/>
        <v>0.84563333333333268</v>
      </c>
      <c r="X32" s="141">
        <f t="shared" si="3"/>
        <v>0.1067193675889328</v>
      </c>
    </row>
    <row r="33" spans="1:24">
      <c r="A33" s="142">
        <v>42036</v>
      </c>
      <c r="B33" s="141">
        <f>D16</f>
        <v>1697</v>
      </c>
      <c r="P33" s="142">
        <v>42856</v>
      </c>
      <c r="Q33" s="141">
        <v>15.090322580645168</v>
      </c>
      <c r="R33" s="141">
        <v>19800</v>
      </c>
      <c r="S33" s="141">
        <v>1850</v>
      </c>
      <c r="T33" s="141">
        <f t="shared" si="0"/>
        <v>0.62638888888888888</v>
      </c>
      <c r="U33" s="141">
        <f t="shared" si="1"/>
        <v>6.9444444444444448E-2</v>
      </c>
      <c r="V33" s="141">
        <f t="shared" si="2"/>
        <v>0.6958333333333333</v>
      </c>
      <c r="W33" s="152">
        <f t="shared" si="4"/>
        <v>0.6</v>
      </c>
      <c r="X33" s="141">
        <f t="shared" si="3"/>
        <v>0.11086474501108648</v>
      </c>
    </row>
    <row r="34" spans="1:24">
      <c r="A34" s="142">
        <v>42064</v>
      </c>
      <c r="B34" s="141">
        <f>E16</f>
        <v>1746</v>
      </c>
      <c r="P34" s="142">
        <v>42887</v>
      </c>
      <c r="Q34" s="141">
        <v>19.273333333333298</v>
      </c>
      <c r="R34" s="141">
        <v>20222</v>
      </c>
      <c r="S34" s="141">
        <v>1895</v>
      </c>
      <c r="T34" s="141">
        <f t="shared" si="0"/>
        <v>0.56720430107526887</v>
      </c>
      <c r="U34" s="141">
        <f t="shared" si="1"/>
        <v>6.0483870967741937E-2</v>
      </c>
      <c r="V34" s="141">
        <f t="shared" si="2"/>
        <v>0.62768817204301075</v>
      </c>
      <c r="W34" s="152">
        <f t="shared" si="4"/>
        <v>0.6</v>
      </c>
      <c r="X34" s="141">
        <f t="shared" si="3"/>
        <v>0.10663507109004738</v>
      </c>
    </row>
    <row r="35" spans="1:24">
      <c r="A35" s="142">
        <v>42005</v>
      </c>
      <c r="B35" s="141">
        <f>C19</f>
        <v>24022</v>
      </c>
      <c r="P35" s="142">
        <v>42917</v>
      </c>
      <c r="Q35" s="141">
        <v>20.083870967741888</v>
      </c>
      <c r="R35" s="141">
        <v>20545</v>
      </c>
      <c r="S35" s="141">
        <v>1926</v>
      </c>
      <c r="T35" s="141">
        <f t="shared" si="0"/>
        <v>0.44861111111111113</v>
      </c>
      <c r="U35" s="141">
        <f t="shared" si="1"/>
        <v>4.3055555555555562E-2</v>
      </c>
      <c r="V35" s="141">
        <f t="shared" si="2"/>
        <v>0.4916666666666667</v>
      </c>
      <c r="W35" s="152">
        <f t="shared" si="4"/>
        <v>0.6</v>
      </c>
      <c r="X35" s="141">
        <f t="shared" si="3"/>
        <v>9.5975232198142427E-2</v>
      </c>
    </row>
    <row r="36" spans="1:24">
      <c r="A36" s="142">
        <v>42005</v>
      </c>
      <c r="B36" s="141">
        <f>C20</f>
        <v>2265</v>
      </c>
      <c r="P36" s="142">
        <v>42948</v>
      </c>
      <c r="Q36" s="141">
        <v>19.338709677419356</v>
      </c>
      <c r="R36" s="141">
        <v>20837</v>
      </c>
      <c r="S36" s="141">
        <v>1961</v>
      </c>
      <c r="T36" s="141">
        <f t="shared" si="0"/>
        <v>0.39247311827956993</v>
      </c>
      <c r="U36" s="141">
        <f t="shared" si="1"/>
        <v>4.7043010752688179E-2</v>
      </c>
      <c r="V36" s="141">
        <f t="shared" si="2"/>
        <v>0.43951612903225812</v>
      </c>
      <c r="W36" s="152">
        <f t="shared" si="4"/>
        <v>0.6</v>
      </c>
      <c r="X36" s="141">
        <f t="shared" si="3"/>
        <v>0.11986301369863014</v>
      </c>
    </row>
    <row r="37" spans="1:24">
      <c r="A37" s="142">
        <v>42036</v>
      </c>
      <c r="B37" s="141">
        <f>D20</f>
        <v>2341</v>
      </c>
      <c r="P37" s="142">
        <v>42979</v>
      </c>
      <c r="Q37" s="141">
        <v>13.006666666666872</v>
      </c>
      <c r="R37" s="141">
        <v>21122</v>
      </c>
      <c r="S37" s="141">
        <v>1999</v>
      </c>
      <c r="T37" s="141">
        <f t="shared" si="0"/>
        <v>0.38306451612903225</v>
      </c>
      <c r="U37" s="141">
        <f t="shared" si="1"/>
        <v>5.1075268817204304E-2</v>
      </c>
      <c r="V37" s="141">
        <f t="shared" si="2"/>
        <v>0.43413978494623656</v>
      </c>
      <c r="W37" s="152">
        <f t="shared" si="4"/>
        <v>0.6</v>
      </c>
      <c r="X37" s="141">
        <f t="shared" si="3"/>
        <v>0.13333333333333333</v>
      </c>
    </row>
    <row r="38" spans="1:24">
      <c r="A38" s="142">
        <v>42064</v>
      </c>
      <c r="B38" s="141">
        <f>E20</f>
        <v>2412</v>
      </c>
      <c r="P38" s="142">
        <v>43009</v>
      </c>
      <c r="Q38" s="141">
        <v>10.809677419354909</v>
      </c>
      <c r="R38" s="141">
        <v>21640</v>
      </c>
      <c r="S38" s="141">
        <v>2062</v>
      </c>
      <c r="T38" s="141">
        <f t="shared" si="0"/>
        <v>0.71944444444444444</v>
      </c>
      <c r="U38" s="141">
        <f t="shared" si="1"/>
        <v>8.7500000000000008E-2</v>
      </c>
      <c r="V38" s="141">
        <f t="shared" si="2"/>
        <v>0.80694444444444446</v>
      </c>
      <c r="W38" s="152">
        <f t="shared" si="4"/>
        <v>0.6</v>
      </c>
      <c r="X38" s="141">
        <f t="shared" si="3"/>
        <v>0.12162162162162163</v>
      </c>
    </row>
    <row r="39" spans="1:24">
      <c r="A39" s="142">
        <v>42095</v>
      </c>
      <c r="B39" s="141">
        <f>F20</f>
        <v>2450</v>
      </c>
      <c r="P39" s="142">
        <v>43040</v>
      </c>
      <c r="Q39" s="141">
        <v>4.6066666666667517</v>
      </c>
      <c r="R39" s="141">
        <v>22317</v>
      </c>
      <c r="S39" s="141">
        <v>2121</v>
      </c>
      <c r="T39" s="141">
        <f t="shared" si="0"/>
        <v>0.90994623655913986</v>
      </c>
      <c r="U39" s="141">
        <f t="shared" si="1"/>
        <v>7.9301075268817203E-2</v>
      </c>
      <c r="V39" s="141">
        <f t="shared" si="2"/>
        <v>0.98924731182795711</v>
      </c>
      <c r="W39" s="152">
        <f t="shared" ref="W39:W64" si="5">IF(Q39+Q$3-W$3&lt;0,(W$3-Q39-Q$3)*W$2/30,)+W$1</f>
        <v>1.1926333333333248</v>
      </c>
      <c r="X39" s="141">
        <f t="shared" si="3"/>
        <v>8.7149187592319044E-2</v>
      </c>
    </row>
    <row r="40" spans="1:24">
      <c r="A40" s="142">
        <v>42125</v>
      </c>
      <c r="B40" s="141">
        <f>G20</f>
        <v>2480</v>
      </c>
      <c r="P40" s="142">
        <v>43070</v>
      </c>
      <c r="Q40" s="141">
        <v>2.2806451612904635</v>
      </c>
      <c r="R40" s="141">
        <v>23020</v>
      </c>
      <c r="S40" s="141">
        <v>2179</v>
      </c>
      <c r="T40" s="141">
        <f t="shared" si="0"/>
        <v>0.97638888888888886</v>
      </c>
      <c r="U40" s="141">
        <f t="shared" si="1"/>
        <v>8.0555555555555561E-2</v>
      </c>
      <c r="V40" s="141">
        <f t="shared" si="2"/>
        <v>1.0569444444444445</v>
      </c>
      <c r="W40" s="152">
        <f t="shared" si="5"/>
        <v>1.4252354838709536</v>
      </c>
      <c r="X40" s="141">
        <f t="shared" si="3"/>
        <v>8.2503556187766725E-2</v>
      </c>
    </row>
    <row r="41" spans="1:24">
      <c r="A41" s="142">
        <v>42156</v>
      </c>
      <c r="B41" s="141">
        <f>H20</f>
        <v>2515</v>
      </c>
      <c r="P41" s="142">
        <v>43101</v>
      </c>
      <c r="Q41" s="141">
        <v>3.2483870967741582</v>
      </c>
      <c r="R41" s="141">
        <v>24022</v>
      </c>
      <c r="S41" s="141">
        <v>2265</v>
      </c>
      <c r="T41" s="141">
        <f t="shared" si="0"/>
        <v>1.346774193548387</v>
      </c>
      <c r="U41" s="141">
        <f t="shared" si="1"/>
        <v>0.11559139784946237</v>
      </c>
      <c r="V41" s="141">
        <f t="shared" si="2"/>
        <v>1.4623655913978495</v>
      </c>
      <c r="W41" s="152">
        <f t="shared" si="5"/>
        <v>1.3284612903225843</v>
      </c>
      <c r="X41" s="141">
        <f t="shared" si="3"/>
        <v>8.5828343313373259E-2</v>
      </c>
    </row>
    <row r="42" spans="1:24">
      <c r="A42" s="142">
        <v>42186</v>
      </c>
      <c r="B42" s="141">
        <f>I20</f>
        <v>2560</v>
      </c>
      <c r="P42" s="142">
        <v>43132</v>
      </c>
      <c r="Q42" s="141">
        <v>-2.5500000000000518</v>
      </c>
      <c r="R42" s="141">
        <v>25168</v>
      </c>
      <c r="S42" s="141">
        <v>2341</v>
      </c>
      <c r="T42" s="141">
        <f t="shared" si="0"/>
        <v>1.5403225806451613</v>
      </c>
      <c r="U42" s="141">
        <f t="shared" si="1"/>
        <v>0.10215053763440861</v>
      </c>
      <c r="V42" s="141">
        <f t="shared" si="2"/>
        <v>1.6424731182795698</v>
      </c>
      <c r="W42" s="152">
        <f t="shared" si="5"/>
        <v>1.908300000000005</v>
      </c>
      <c r="X42" s="141">
        <f t="shared" si="3"/>
        <v>6.6317626527050616E-2</v>
      </c>
    </row>
    <row r="43" spans="1:24">
      <c r="A43" s="142">
        <v>42217</v>
      </c>
      <c r="B43" s="141">
        <f>J20</f>
        <v>2600</v>
      </c>
      <c r="P43" s="142">
        <v>43160</v>
      </c>
      <c r="Q43" s="141">
        <v>2.3838709677420411</v>
      </c>
      <c r="R43" s="141">
        <v>25982</v>
      </c>
      <c r="S43" s="141">
        <v>2412</v>
      </c>
      <c r="T43" s="141">
        <f t="shared" si="0"/>
        <v>1.2113095238095239</v>
      </c>
      <c r="U43" s="141">
        <f t="shared" si="1"/>
        <v>0.1056547619047619</v>
      </c>
      <c r="V43" s="141">
        <f t="shared" si="2"/>
        <v>1.3169642857142858</v>
      </c>
      <c r="W43" s="152">
        <f t="shared" si="5"/>
        <v>1.4149129032257957</v>
      </c>
      <c r="X43" s="141">
        <f t="shared" si="3"/>
        <v>8.722358722358721E-2</v>
      </c>
    </row>
    <row r="44" spans="1:24">
      <c r="A44" s="142">
        <v>42248</v>
      </c>
      <c r="B44" s="141">
        <f>K20</f>
        <v>2650</v>
      </c>
      <c r="P44" s="142">
        <v>43191</v>
      </c>
      <c r="Q44" s="141">
        <v>13.99333333333337</v>
      </c>
      <c r="R44" s="141">
        <v>26400</v>
      </c>
      <c r="S44" s="141">
        <v>2450</v>
      </c>
      <c r="T44" s="141">
        <f t="shared" si="0"/>
        <v>0.56182795698924737</v>
      </c>
      <c r="U44" s="141">
        <f t="shared" si="1"/>
        <v>5.1075268817204304E-2</v>
      </c>
      <c r="V44" s="141">
        <f t="shared" si="2"/>
        <v>0.61290322580645162</v>
      </c>
      <c r="W44" s="152">
        <f t="shared" si="5"/>
        <v>0.6</v>
      </c>
      <c r="X44" s="141">
        <f t="shared" si="3"/>
        <v>9.0909090909090912E-2</v>
      </c>
    </row>
    <row r="45" spans="1:24">
      <c r="A45" s="142">
        <v>42278</v>
      </c>
      <c r="B45" s="141">
        <f>L20</f>
        <v>2700</v>
      </c>
      <c r="P45" s="142">
        <v>43221</v>
      </c>
      <c r="Q45" s="141">
        <v>17.454838709677372</v>
      </c>
      <c r="R45" s="141">
        <v>26800</v>
      </c>
      <c r="S45" s="141">
        <v>2480</v>
      </c>
      <c r="T45" s="141">
        <f t="shared" si="0"/>
        <v>0.55555555555555558</v>
      </c>
      <c r="U45" s="141">
        <f t="shared" si="1"/>
        <v>4.1666666666666664E-2</v>
      </c>
      <c r="V45" s="141">
        <f t="shared" si="2"/>
        <v>0.59722222222222221</v>
      </c>
      <c r="W45" s="152">
        <f t="shared" si="5"/>
        <v>0.6</v>
      </c>
      <c r="X45" s="141">
        <f t="shared" si="3"/>
        <v>7.4999999999999997E-2</v>
      </c>
    </row>
    <row r="46" spans="1:24">
      <c r="A46" s="142">
        <v>42309</v>
      </c>
      <c r="B46" s="141">
        <f>M20</f>
        <v>2750</v>
      </c>
      <c r="P46" s="142">
        <v>43252</v>
      </c>
      <c r="Q46" s="141">
        <v>18.759999999999977</v>
      </c>
      <c r="R46" s="141">
        <v>27200</v>
      </c>
      <c r="S46" s="141">
        <v>2515</v>
      </c>
      <c r="T46" s="141">
        <f t="shared" si="0"/>
        <v>0.5376344086021505</v>
      </c>
      <c r="U46" s="141">
        <f t="shared" si="1"/>
        <v>4.7043010752688179E-2</v>
      </c>
      <c r="V46" s="141">
        <f t="shared" si="2"/>
        <v>0.58467741935483863</v>
      </c>
      <c r="W46" s="152">
        <f t="shared" si="5"/>
        <v>0.6</v>
      </c>
      <c r="X46" s="141">
        <f t="shared" si="3"/>
        <v>8.7500000000000022E-2</v>
      </c>
    </row>
    <row r="47" spans="1:24">
      <c r="A47" s="142">
        <v>42339</v>
      </c>
      <c r="B47" s="141">
        <f>N20</f>
        <v>2817</v>
      </c>
      <c r="P47" s="142">
        <v>43282</v>
      </c>
      <c r="Q47" s="141">
        <v>21.961290322580503</v>
      </c>
      <c r="R47" s="141">
        <v>27600</v>
      </c>
      <c r="S47" s="141">
        <v>2560</v>
      </c>
      <c r="T47" s="141">
        <f t="shared" si="0"/>
        <v>0.55555555555555558</v>
      </c>
      <c r="U47" s="141">
        <f t="shared" si="1"/>
        <v>6.25E-2</v>
      </c>
      <c r="V47" s="141">
        <f t="shared" si="2"/>
        <v>0.61805555555555558</v>
      </c>
      <c r="W47" s="152">
        <f t="shared" si="5"/>
        <v>0.6</v>
      </c>
      <c r="X47" s="141">
        <f t="shared" si="3"/>
        <v>0.11249999999999999</v>
      </c>
    </row>
    <row r="48" spans="1:24">
      <c r="P48" s="142">
        <v>43313</v>
      </c>
      <c r="Q48" s="141">
        <v>21.751612903225901</v>
      </c>
      <c r="R48" s="141">
        <v>28000</v>
      </c>
      <c r="S48" s="141">
        <v>2600</v>
      </c>
      <c r="T48" s="141">
        <f t="shared" si="0"/>
        <v>0.5376344086021505</v>
      </c>
      <c r="U48" s="141">
        <f t="shared" si="1"/>
        <v>5.3763440860215055E-2</v>
      </c>
      <c r="V48" s="141">
        <f t="shared" si="2"/>
        <v>0.59139784946236551</v>
      </c>
      <c r="W48" s="152">
        <f t="shared" si="5"/>
        <v>0.6</v>
      </c>
      <c r="X48" s="141">
        <f t="shared" si="3"/>
        <v>0.1</v>
      </c>
    </row>
    <row r="49" spans="16:24">
      <c r="P49" s="142">
        <v>43344</v>
      </c>
      <c r="Q49" s="141">
        <v>16.043333333333369</v>
      </c>
      <c r="R49" s="141">
        <v>28400</v>
      </c>
      <c r="S49" s="141">
        <v>2650</v>
      </c>
      <c r="T49" s="141">
        <f t="shared" si="0"/>
        <v>0.5376344086021505</v>
      </c>
      <c r="U49" s="141">
        <f t="shared" si="1"/>
        <v>6.7204301075268813E-2</v>
      </c>
      <c r="V49" s="141">
        <f t="shared" si="2"/>
        <v>0.60483870967741926</v>
      </c>
      <c r="W49" s="152">
        <f t="shared" si="5"/>
        <v>0.6</v>
      </c>
      <c r="X49" s="141">
        <f t="shared" si="3"/>
        <v>0.125</v>
      </c>
    </row>
    <row r="50" spans="16:24">
      <c r="P50" s="142">
        <v>43374</v>
      </c>
      <c r="Q50" s="141">
        <v>11.01935483870969</v>
      </c>
      <c r="R50" s="141">
        <v>28800</v>
      </c>
      <c r="S50" s="141">
        <v>2700</v>
      </c>
      <c r="T50" s="141">
        <f t="shared" si="0"/>
        <v>0.55555555555555558</v>
      </c>
      <c r="U50" s="141">
        <f t="shared" si="1"/>
        <v>6.9444444444444448E-2</v>
      </c>
      <c r="V50" s="141">
        <f t="shared" si="2"/>
        <v>0.625</v>
      </c>
      <c r="W50" s="152">
        <f t="shared" si="5"/>
        <v>0.6</v>
      </c>
      <c r="X50" s="141">
        <f t="shared" si="3"/>
        <v>0.125</v>
      </c>
    </row>
    <row r="51" spans="16:24">
      <c r="P51" s="142">
        <v>43405</v>
      </c>
      <c r="Q51" s="141">
        <v>4.2866666666666786</v>
      </c>
      <c r="R51" s="141">
        <v>29400</v>
      </c>
      <c r="S51" s="141">
        <v>2750</v>
      </c>
      <c r="T51" s="141">
        <f t="shared" si="0"/>
        <v>0.80645161290322587</v>
      </c>
      <c r="U51" s="141">
        <f t="shared" si="1"/>
        <v>6.7204301075268813E-2</v>
      </c>
      <c r="V51" s="141">
        <f t="shared" si="2"/>
        <v>0.87365591397849474</v>
      </c>
      <c r="W51" s="152">
        <f t="shared" si="5"/>
        <v>1.2246333333333321</v>
      </c>
      <c r="X51" s="141">
        <f t="shared" si="3"/>
        <v>8.3333333333333329E-2</v>
      </c>
    </row>
    <row r="52" spans="16:24">
      <c r="P52" s="142">
        <v>43435</v>
      </c>
      <c r="Q52" s="141">
        <v>3.2290322580642932</v>
      </c>
      <c r="R52" s="141">
        <v>30183</v>
      </c>
      <c r="S52" s="141">
        <v>2817</v>
      </c>
      <c r="T52" s="141">
        <f t="shared" si="0"/>
        <v>1.0875000000000001</v>
      </c>
      <c r="U52" s="141">
        <f t="shared" si="1"/>
        <v>9.3055555555555558E-2</v>
      </c>
      <c r="V52" s="141">
        <f t="shared" si="2"/>
        <v>1.1805555555555558</v>
      </c>
      <c r="W52" s="152">
        <f t="shared" si="5"/>
        <v>1.3303967741935705</v>
      </c>
      <c r="X52" s="141">
        <f t="shared" si="3"/>
        <v>8.5568326947637288E-2</v>
      </c>
    </row>
    <row r="53" spans="16:24">
      <c r="P53" s="142">
        <v>43466</v>
      </c>
      <c r="Q53" s="141">
        <v>-1.2903225806557232E-2</v>
      </c>
      <c r="W53" s="152">
        <f t="shared" si="5"/>
        <v>1.6545903225806557</v>
      </c>
    </row>
    <row r="54" spans="16:24">
      <c r="P54" s="142">
        <v>43497</v>
      </c>
      <c r="Q54" s="141">
        <v>3.067857142857195</v>
      </c>
      <c r="W54" s="152">
        <f t="shared" si="5"/>
        <v>1.3465142857142807</v>
      </c>
    </row>
    <row r="55" spans="16:24">
      <c r="P55" s="142">
        <v>43525</v>
      </c>
      <c r="Q55" s="141">
        <v>7.361290322580551</v>
      </c>
      <c r="W55" s="152">
        <f t="shared" si="5"/>
        <v>0.91717096774194484</v>
      </c>
    </row>
    <row r="56" spans="16:24">
      <c r="P56" s="142">
        <v>43556</v>
      </c>
      <c r="Q56" s="141">
        <v>10.860000000000097</v>
      </c>
      <c r="W56" s="152">
        <f t="shared" si="5"/>
        <v>0.6</v>
      </c>
    </row>
    <row r="57" spans="16:24">
      <c r="P57" s="142">
        <v>43586</v>
      </c>
      <c r="Q57" s="141">
        <v>12.29354838709661</v>
      </c>
      <c r="W57" s="152">
        <f t="shared" si="5"/>
        <v>0.6</v>
      </c>
    </row>
    <row r="58" spans="16:24">
      <c r="P58" s="142">
        <v>43617</v>
      </c>
      <c r="Q58" s="141">
        <v>22.053333333333526</v>
      </c>
      <c r="W58" s="152">
        <f t="shared" si="5"/>
        <v>0.6</v>
      </c>
    </row>
    <row r="59" spans="16:24">
      <c r="P59" s="142">
        <v>43647</v>
      </c>
      <c r="Q59" s="141">
        <v>20.22903225806435</v>
      </c>
      <c r="W59" s="152">
        <f t="shared" si="5"/>
        <v>0.6</v>
      </c>
    </row>
    <row r="60" spans="16:24">
      <c r="P60" s="142">
        <v>43678</v>
      </c>
      <c r="Q60" s="141">
        <v>20.332258064516104</v>
      </c>
      <c r="W60" s="152">
        <f t="shared" si="5"/>
        <v>0.6</v>
      </c>
    </row>
    <row r="61" spans="16:24">
      <c r="P61" s="142">
        <v>43709</v>
      </c>
      <c r="Q61" s="141">
        <v>14.676666666666522</v>
      </c>
      <c r="W61" s="152">
        <f t="shared" si="5"/>
        <v>0.6</v>
      </c>
    </row>
    <row r="62" spans="16:24">
      <c r="P62" s="142">
        <v>43739</v>
      </c>
      <c r="Q62" s="141">
        <v>10.209677419354721</v>
      </c>
      <c r="W62" s="152">
        <f t="shared" si="5"/>
        <v>0.63233225806452786</v>
      </c>
    </row>
    <row r="63" spans="16:24">
      <c r="P63" s="142">
        <v>43770</v>
      </c>
      <c r="Q63" s="141">
        <v>6.1799999999999269</v>
      </c>
      <c r="W63" s="152">
        <f t="shared" si="5"/>
        <v>1.0353000000000074</v>
      </c>
    </row>
    <row r="64" spans="16:24">
      <c r="P64" s="142">
        <v>43800</v>
      </c>
      <c r="Q64" s="141">
        <v>2.5</v>
      </c>
      <c r="W64" s="152">
        <f t="shared" si="5"/>
        <v>1.4032999999999998</v>
      </c>
    </row>
    <row r="73" spans="1:9">
      <c r="D73" s="144">
        <v>1.1000000000000001</v>
      </c>
      <c r="E73" s="141" t="s">
        <v>1011</v>
      </c>
      <c r="H73" s="154">
        <f>SUM(B77:B87)</f>
        <v>12892.8</v>
      </c>
      <c r="I73" s="153">
        <v>12892.8</v>
      </c>
    </row>
    <row r="74" spans="1:9">
      <c r="D74" s="144">
        <v>7</v>
      </c>
      <c r="E74" s="141" t="s">
        <v>56</v>
      </c>
      <c r="H74" s="154">
        <f>SUM(B88:B99)</f>
        <v>15700.070000000002</v>
      </c>
      <c r="I74" s="153">
        <v>12999.470000000001</v>
      </c>
    </row>
    <row r="75" spans="1:9">
      <c r="D75" s="144">
        <v>11</v>
      </c>
      <c r="E75" s="141" t="s">
        <v>107</v>
      </c>
      <c r="H75" s="154">
        <f>SUM(B100:B111)</f>
        <v>17401.849999999999</v>
      </c>
      <c r="I75" s="153">
        <v>13916.249999999998</v>
      </c>
    </row>
    <row r="76" spans="1:9">
      <c r="B76" s="155" t="s">
        <v>1010</v>
      </c>
      <c r="C76" s="141" t="s">
        <v>312</v>
      </c>
      <c r="D76" s="141" t="s">
        <v>65</v>
      </c>
      <c r="E76" s="141" t="s">
        <v>1009</v>
      </c>
      <c r="H76" s="154">
        <f>SUM(B112:B123)</f>
        <v>16518.11</v>
      </c>
      <c r="I76" s="153">
        <v>14216.07</v>
      </c>
    </row>
    <row r="77" spans="1:9">
      <c r="A77" s="142">
        <v>42036</v>
      </c>
      <c r="B77" s="153">
        <v>1851.6000000000001</v>
      </c>
    </row>
    <row r="78" spans="1:9">
      <c r="A78" s="142">
        <v>42064</v>
      </c>
      <c r="B78" s="153">
        <v>1638.0000000000002</v>
      </c>
    </row>
    <row r="79" spans="1:9">
      <c r="A79" s="142">
        <v>42095</v>
      </c>
      <c r="B79" s="153">
        <v>1148.4000000000001</v>
      </c>
      <c r="C79" s="141">
        <v>9.2499999999999982</v>
      </c>
      <c r="D79" s="141">
        <f t="shared" ref="D79:D110" si="6">IF(C79-D$75&lt;0,(D$75-C79)*D$74/30,)+D$73</f>
        <v>1.5083333333333337</v>
      </c>
      <c r="E79" s="141">
        <f t="shared" ref="E79:E110" si="7">B79/(A79-A78)/24</f>
        <v>1.5435483870967743</v>
      </c>
    </row>
    <row r="80" spans="1:9">
      <c r="A80" s="142">
        <v>42125</v>
      </c>
      <c r="B80" s="153">
        <v>736.40000000000009</v>
      </c>
      <c r="C80" s="141">
        <v>13.748387096774204</v>
      </c>
      <c r="D80" s="141">
        <f t="shared" si="6"/>
        <v>1.1000000000000001</v>
      </c>
      <c r="E80" s="141">
        <f t="shared" si="7"/>
        <v>1.022777777777778</v>
      </c>
    </row>
    <row r="81" spans="1:5">
      <c r="A81" s="142">
        <v>42156</v>
      </c>
      <c r="B81" s="153">
        <v>650.6</v>
      </c>
      <c r="C81" s="141">
        <v>17.11</v>
      </c>
      <c r="D81" s="141">
        <f t="shared" si="6"/>
        <v>1.1000000000000001</v>
      </c>
      <c r="E81" s="141">
        <f t="shared" si="7"/>
        <v>0.87446236559139789</v>
      </c>
    </row>
    <row r="82" spans="1:5">
      <c r="A82" s="142">
        <v>42186</v>
      </c>
      <c r="B82" s="153">
        <v>550.80000000000007</v>
      </c>
      <c r="C82" s="141">
        <v>21.29032258064516</v>
      </c>
      <c r="D82" s="141">
        <f t="shared" si="6"/>
        <v>1.1000000000000001</v>
      </c>
      <c r="E82" s="141">
        <f t="shared" si="7"/>
        <v>0.76500000000000012</v>
      </c>
    </row>
    <row r="83" spans="1:5">
      <c r="A83" s="142">
        <v>42217</v>
      </c>
      <c r="B83" s="153">
        <v>932.00000000000011</v>
      </c>
      <c r="C83" s="141">
        <v>22.480645161290347</v>
      </c>
      <c r="D83" s="141">
        <f t="shared" si="6"/>
        <v>1.1000000000000001</v>
      </c>
      <c r="E83" s="141">
        <f t="shared" si="7"/>
        <v>1.252688172043011</v>
      </c>
    </row>
    <row r="84" spans="1:5">
      <c r="A84" s="142">
        <v>42248</v>
      </c>
      <c r="B84" s="153">
        <v>887.2</v>
      </c>
      <c r="C84" s="141">
        <v>14.083333333333348</v>
      </c>
      <c r="D84" s="141">
        <f t="shared" si="6"/>
        <v>1.1000000000000001</v>
      </c>
      <c r="E84" s="141">
        <f t="shared" si="7"/>
        <v>1.19247311827957</v>
      </c>
    </row>
    <row r="85" spans="1:5">
      <c r="A85" s="142">
        <v>42278</v>
      </c>
      <c r="B85" s="153">
        <v>1297</v>
      </c>
      <c r="C85" s="141">
        <v>8.6580645161290359</v>
      </c>
      <c r="D85" s="141">
        <f t="shared" si="6"/>
        <v>1.6464516129032249</v>
      </c>
      <c r="E85" s="141">
        <f t="shared" si="7"/>
        <v>1.8013888888888889</v>
      </c>
    </row>
    <row r="86" spans="1:5">
      <c r="A86" s="142">
        <v>42309</v>
      </c>
      <c r="B86" s="153">
        <v>1491.4</v>
      </c>
      <c r="C86" s="141">
        <v>6.8866666666666028</v>
      </c>
      <c r="D86" s="141">
        <f t="shared" si="6"/>
        <v>2.0597777777777928</v>
      </c>
      <c r="E86" s="141">
        <f t="shared" si="7"/>
        <v>2.0045698924731181</v>
      </c>
    </row>
    <row r="87" spans="1:5">
      <c r="A87" s="142">
        <v>42339</v>
      </c>
      <c r="B87" s="153">
        <v>1709.4</v>
      </c>
      <c r="C87" s="141">
        <v>4.9032258064516272</v>
      </c>
      <c r="D87" s="141">
        <f t="shared" si="6"/>
        <v>2.5225806451612871</v>
      </c>
      <c r="E87" s="141">
        <f t="shared" si="7"/>
        <v>2.374166666666667</v>
      </c>
    </row>
    <row r="88" spans="1:5">
      <c r="A88" s="142">
        <v>42370</v>
      </c>
      <c r="B88" s="153">
        <v>2700.6000000000004</v>
      </c>
      <c r="C88" s="141">
        <v>-0.25483870967740763</v>
      </c>
      <c r="D88" s="141">
        <f t="shared" si="6"/>
        <v>3.7261290322580618</v>
      </c>
      <c r="E88" s="141">
        <f t="shared" si="7"/>
        <v>3.6298387096774198</v>
      </c>
    </row>
    <row r="89" spans="1:5">
      <c r="A89" s="142">
        <v>42401</v>
      </c>
      <c r="B89" s="153">
        <v>1599.2000000000003</v>
      </c>
      <c r="C89" s="141">
        <v>3.4034482758620785</v>
      </c>
      <c r="D89" s="141">
        <f t="shared" si="6"/>
        <v>2.8725287356321818</v>
      </c>
      <c r="E89" s="141">
        <f t="shared" si="7"/>
        <v>2.1494623655913982</v>
      </c>
    </row>
    <row r="90" spans="1:5">
      <c r="A90" s="142">
        <v>42430</v>
      </c>
      <c r="B90" s="153">
        <v>1226.7</v>
      </c>
      <c r="C90" s="141">
        <v>4.4032258064515979</v>
      </c>
      <c r="D90" s="141">
        <f t="shared" si="6"/>
        <v>2.6392473118279609</v>
      </c>
      <c r="E90" s="141">
        <f t="shared" si="7"/>
        <v>1.7625000000000002</v>
      </c>
    </row>
    <row r="91" spans="1:5">
      <c r="A91" s="142">
        <v>42461</v>
      </c>
      <c r="B91" s="153">
        <v>950.79160305343669</v>
      </c>
      <c r="C91" s="141">
        <v>9.0266666666666584</v>
      </c>
      <c r="D91" s="141">
        <f t="shared" si="6"/>
        <v>1.5604444444444465</v>
      </c>
      <c r="E91" s="141">
        <f t="shared" si="7"/>
        <v>1.2779457030288126</v>
      </c>
    </row>
    <row r="92" spans="1:5">
      <c r="A92" s="142">
        <v>42491</v>
      </c>
      <c r="B92" s="153">
        <v>950.79160305343669</v>
      </c>
      <c r="C92" s="141">
        <v>14.625806451612892</v>
      </c>
      <c r="D92" s="141">
        <f t="shared" si="6"/>
        <v>1.1000000000000001</v>
      </c>
      <c r="E92" s="141">
        <f t="shared" si="7"/>
        <v>1.3205438931297733</v>
      </c>
    </row>
    <row r="93" spans="1:5">
      <c r="A93" s="142">
        <v>42522</v>
      </c>
      <c r="B93" s="153">
        <v>950.79160305343669</v>
      </c>
      <c r="C93" s="141">
        <v>18.486666666666618</v>
      </c>
      <c r="D93" s="141">
        <f t="shared" si="6"/>
        <v>1.1000000000000001</v>
      </c>
      <c r="E93" s="141">
        <f t="shared" si="7"/>
        <v>1.2779457030288126</v>
      </c>
    </row>
    <row r="94" spans="1:5">
      <c r="A94" s="142">
        <v>42552</v>
      </c>
      <c r="B94" s="153">
        <v>950.79160305343669</v>
      </c>
      <c r="C94" s="141">
        <v>19.922580645161272</v>
      </c>
      <c r="D94" s="141">
        <f t="shared" si="6"/>
        <v>1.1000000000000001</v>
      </c>
      <c r="E94" s="141">
        <f t="shared" si="7"/>
        <v>1.3205438931297733</v>
      </c>
    </row>
    <row r="95" spans="1:5">
      <c r="A95" s="142">
        <v>42583</v>
      </c>
      <c r="B95" s="153">
        <v>1117.5235877862531</v>
      </c>
      <c r="C95" s="141">
        <v>18.554838709677444</v>
      </c>
      <c r="D95" s="141">
        <f t="shared" si="6"/>
        <v>1.1000000000000001</v>
      </c>
      <c r="E95" s="141">
        <f t="shared" si="7"/>
        <v>1.5020478330460392</v>
      </c>
    </row>
    <row r="96" spans="1:5">
      <c r="A96" s="142">
        <v>42614</v>
      </c>
      <c r="B96" s="153">
        <v>907.19999999999993</v>
      </c>
      <c r="C96" s="141">
        <v>17.559999999999945</v>
      </c>
      <c r="D96" s="141">
        <f t="shared" si="6"/>
        <v>1.1000000000000001</v>
      </c>
      <c r="E96" s="141">
        <f t="shared" si="7"/>
        <v>1.2193548387096773</v>
      </c>
    </row>
    <row r="97" spans="1:5">
      <c r="A97" s="142">
        <v>42644</v>
      </c>
      <c r="B97" s="153">
        <v>959.99999999999989</v>
      </c>
      <c r="C97" s="141">
        <v>8.4258064516128393</v>
      </c>
      <c r="D97" s="141">
        <f t="shared" si="6"/>
        <v>1.7006451612903377</v>
      </c>
      <c r="E97" s="141">
        <f t="shared" si="7"/>
        <v>1.3333333333333333</v>
      </c>
    </row>
    <row r="98" spans="1:5">
      <c r="A98" s="142">
        <v>42675</v>
      </c>
      <c r="B98" s="153">
        <v>1607.4</v>
      </c>
      <c r="C98" s="141">
        <v>3.2900000000000245</v>
      </c>
      <c r="D98" s="141">
        <f t="shared" si="6"/>
        <v>2.8989999999999947</v>
      </c>
      <c r="E98" s="141">
        <f t="shared" si="7"/>
        <v>2.1604838709677421</v>
      </c>
    </row>
    <row r="99" spans="1:5">
      <c r="A99" s="142">
        <v>42705</v>
      </c>
      <c r="B99" s="153">
        <v>1778.28</v>
      </c>
      <c r="C99" s="141">
        <v>0.53548387096778305</v>
      </c>
      <c r="D99" s="141">
        <f t="shared" si="6"/>
        <v>3.5417204301075174</v>
      </c>
      <c r="E99" s="141">
        <f t="shared" si="7"/>
        <v>2.4698333333333333</v>
      </c>
    </row>
    <row r="100" spans="1:5">
      <c r="A100" s="142">
        <v>42736</v>
      </c>
      <c r="B100" s="153">
        <v>3485.5999999999995</v>
      </c>
      <c r="C100" s="141">
        <v>-4.5935483870967921</v>
      </c>
      <c r="D100" s="141">
        <f t="shared" si="6"/>
        <v>4.7384946236559182</v>
      </c>
      <c r="E100" s="141">
        <f t="shared" si="7"/>
        <v>4.6849462365591394</v>
      </c>
    </row>
    <row r="101" spans="1:5">
      <c r="A101" s="142">
        <v>42767</v>
      </c>
      <c r="B101" s="153">
        <v>2878.9</v>
      </c>
      <c r="C101" s="141">
        <v>2.2964285714285455</v>
      </c>
      <c r="D101" s="141">
        <f t="shared" si="6"/>
        <v>3.1308333333333396</v>
      </c>
      <c r="E101" s="141">
        <f t="shared" si="7"/>
        <v>3.8694892473118281</v>
      </c>
    </row>
    <row r="102" spans="1:5">
      <c r="A102" s="142">
        <v>42795</v>
      </c>
      <c r="B102" s="153">
        <v>1243.5099999999998</v>
      </c>
      <c r="C102" s="141">
        <v>7.5483870967742233</v>
      </c>
      <c r="D102" s="141">
        <f t="shared" si="6"/>
        <v>1.9053763440860148</v>
      </c>
      <c r="E102" s="141">
        <f t="shared" si="7"/>
        <v>1.8504613095238092</v>
      </c>
    </row>
    <row r="103" spans="1:5">
      <c r="A103" s="142">
        <v>42826</v>
      </c>
      <c r="B103" s="153">
        <v>1190.5199999999998</v>
      </c>
      <c r="C103" s="141">
        <v>8.0766666666666733</v>
      </c>
      <c r="D103" s="141">
        <f t="shared" si="6"/>
        <v>1.7821111111111096</v>
      </c>
      <c r="E103" s="141">
        <f t="shared" si="7"/>
        <v>1.6001612903225804</v>
      </c>
    </row>
    <row r="104" spans="1:5">
      <c r="A104" s="142">
        <v>42856</v>
      </c>
      <c r="B104" s="153">
        <v>1066.07</v>
      </c>
      <c r="C104" s="141">
        <v>15.090322580645168</v>
      </c>
      <c r="D104" s="141">
        <f t="shared" si="6"/>
        <v>1.1000000000000001</v>
      </c>
      <c r="E104" s="141">
        <f t="shared" si="7"/>
        <v>1.4806527777777776</v>
      </c>
    </row>
    <row r="105" spans="1:5">
      <c r="A105" s="142">
        <v>42887</v>
      </c>
      <c r="B105" s="153">
        <v>992.79</v>
      </c>
      <c r="C105" s="141">
        <v>19.273333333333298</v>
      </c>
      <c r="D105" s="141">
        <f t="shared" si="6"/>
        <v>1.1000000000000001</v>
      </c>
      <c r="E105" s="141">
        <f t="shared" si="7"/>
        <v>1.3343951612903224</v>
      </c>
    </row>
    <row r="106" spans="1:5">
      <c r="A106" s="142">
        <v>42917</v>
      </c>
      <c r="B106" s="153">
        <v>750.75999999999988</v>
      </c>
      <c r="C106" s="141">
        <v>20.083870967741888</v>
      </c>
      <c r="D106" s="141">
        <f t="shared" si="6"/>
        <v>1.1000000000000001</v>
      </c>
      <c r="E106" s="141">
        <f t="shared" si="7"/>
        <v>1.0427222222222221</v>
      </c>
    </row>
    <row r="107" spans="1:5">
      <c r="A107" s="142">
        <v>42948</v>
      </c>
      <c r="B107" s="153">
        <v>697.18999999999994</v>
      </c>
      <c r="C107" s="141">
        <v>19.338709677419356</v>
      </c>
      <c r="D107" s="141">
        <f t="shared" si="6"/>
        <v>1.1000000000000001</v>
      </c>
      <c r="E107" s="141">
        <f t="shared" si="7"/>
        <v>0.93708333333333327</v>
      </c>
    </row>
    <row r="108" spans="1:5">
      <c r="A108" s="142">
        <v>42979</v>
      </c>
      <c r="B108" s="153">
        <v>690.65</v>
      </c>
      <c r="C108" s="141">
        <v>13.006666666666872</v>
      </c>
      <c r="D108" s="141">
        <f t="shared" si="6"/>
        <v>1.1000000000000001</v>
      </c>
      <c r="E108" s="141">
        <f t="shared" si="7"/>
        <v>0.92829301075268811</v>
      </c>
    </row>
    <row r="109" spans="1:5">
      <c r="A109" s="142">
        <v>43009</v>
      </c>
      <c r="B109" s="153">
        <v>1239.21</v>
      </c>
      <c r="C109" s="141">
        <v>10.809677419354909</v>
      </c>
      <c r="D109" s="141">
        <f t="shared" si="6"/>
        <v>1.1444086021505213</v>
      </c>
      <c r="E109" s="141">
        <f t="shared" si="7"/>
        <v>1.721125</v>
      </c>
    </row>
    <row r="110" spans="1:5">
      <c r="A110" s="142">
        <v>43040</v>
      </c>
      <c r="B110" s="153">
        <v>1557.7399999999998</v>
      </c>
      <c r="C110" s="141">
        <v>4.6066666666667517</v>
      </c>
      <c r="D110" s="141">
        <f t="shared" si="6"/>
        <v>2.5917777777777582</v>
      </c>
      <c r="E110" s="141">
        <f t="shared" si="7"/>
        <v>2.0937365591397845</v>
      </c>
    </row>
    <row r="111" spans="1:5">
      <c r="A111" s="142">
        <v>43070</v>
      </c>
      <c r="B111" s="153">
        <v>1608.9099999999999</v>
      </c>
      <c r="C111" s="141">
        <v>2.2806451612904635</v>
      </c>
      <c r="D111" s="141">
        <f t="shared" ref="D111:D135" si="8">IF(C111-D$75&lt;0,(D$75-C111)*D$74/30,)+D$73</f>
        <v>3.1345161290322254</v>
      </c>
      <c r="E111" s="141">
        <f t="shared" ref="E111:E135" si="9">B111/(A111-A110)/24</f>
        <v>2.2345972222222219</v>
      </c>
    </row>
    <row r="112" spans="1:5">
      <c r="A112" s="142">
        <v>43101</v>
      </c>
      <c r="B112" s="153">
        <v>2302.04</v>
      </c>
      <c r="C112" s="141">
        <v>3.2483870967741582</v>
      </c>
      <c r="D112" s="141">
        <f t="shared" si="8"/>
        <v>2.9087096774193633</v>
      </c>
      <c r="E112" s="141">
        <f t="shared" si="9"/>
        <v>3.0941397849462366</v>
      </c>
    </row>
    <row r="113" spans="1:5">
      <c r="A113" s="142">
        <v>43132</v>
      </c>
      <c r="B113" s="153">
        <v>2573.62</v>
      </c>
      <c r="C113" s="141">
        <v>-2.5500000000000518</v>
      </c>
      <c r="D113" s="141">
        <f t="shared" si="8"/>
        <v>4.2616666666666791</v>
      </c>
      <c r="E113" s="141">
        <f t="shared" si="9"/>
        <v>3.4591666666666665</v>
      </c>
    </row>
    <row r="114" spans="1:5">
      <c r="A114" s="142">
        <v>43160</v>
      </c>
      <c r="B114" s="153">
        <v>1873.1299999999999</v>
      </c>
      <c r="C114" s="141">
        <v>2.3838709677420411</v>
      </c>
      <c r="D114" s="141">
        <f t="shared" si="8"/>
        <v>3.1104301075268572</v>
      </c>
      <c r="E114" s="141">
        <f t="shared" si="9"/>
        <v>2.7873958333333331</v>
      </c>
    </row>
    <row r="115" spans="1:5">
      <c r="A115" s="142">
        <v>43191</v>
      </c>
      <c r="B115" s="153">
        <v>965.95999999999992</v>
      </c>
      <c r="C115" s="141">
        <v>13.99333333333337</v>
      </c>
      <c r="D115" s="141">
        <f t="shared" si="8"/>
        <v>1.1000000000000001</v>
      </c>
      <c r="E115" s="141">
        <f t="shared" si="9"/>
        <v>1.2983333333333331</v>
      </c>
    </row>
    <row r="116" spans="1:5">
      <c r="A116" s="142">
        <v>43221</v>
      </c>
      <c r="B116" s="153">
        <v>907.49999999999989</v>
      </c>
      <c r="C116" s="141">
        <v>17.454838709677372</v>
      </c>
      <c r="D116" s="141">
        <f t="shared" si="8"/>
        <v>1.1000000000000001</v>
      </c>
      <c r="E116" s="141">
        <f t="shared" si="9"/>
        <v>1.2604166666666665</v>
      </c>
    </row>
    <row r="117" spans="1:5">
      <c r="A117" s="142">
        <v>43252</v>
      </c>
      <c r="B117" s="153">
        <v>920.74999999999989</v>
      </c>
      <c r="C117" s="141">
        <v>18.759999999999977</v>
      </c>
      <c r="D117" s="141">
        <f t="shared" si="8"/>
        <v>1.1000000000000001</v>
      </c>
      <c r="E117" s="141">
        <f t="shared" si="9"/>
        <v>1.2375672043010753</v>
      </c>
    </row>
    <row r="118" spans="1:5">
      <c r="A118" s="142">
        <v>43282</v>
      </c>
      <c r="B118" s="153">
        <v>947.24999999999989</v>
      </c>
      <c r="C118" s="141">
        <v>21.961290322580503</v>
      </c>
      <c r="D118" s="141">
        <f t="shared" si="8"/>
        <v>1.1000000000000001</v>
      </c>
      <c r="E118" s="141">
        <f t="shared" si="9"/>
        <v>1.3156249999999998</v>
      </c>
    </row>
    <row r="119" spans="1:5">
      <c r="A119" s="142">
        <v>43313</v>
      </c>
      <c r="B119" s="153">
        <v>933.99999999999989</v>
      </c>
      <c r="C119" s="141">
        <v>21.751612903225901</v>
      </c>
      <c r="D119" s="141">
        <f t="shared" si="8"/>
        <v>1.1000000000000001</v>
      </c>
      <c r="E119" s="141">
        <f t="shared" si="9"/>
        <v>1.2553763440860213</v>
      </c>
    </row>
    <row r="120" spans="1:5">
      <c r="A120" s="142">
        <v>43344</v>
      </c>
      <c r="B120" s="153">
        <v>960.49999999999989</v>
      </c>
      <c r="C120" s="141">
        <v>16.043333333333369</v>
      </c>
      <c r="D120" s="141">
        <f t="shared" si="8"/>
        <v>1.1000000000000001</v>
      </c>
      <c r="E120" s="141">
        <f t="shared" si="9"/>
        <v>1.2909946236559138</v>
      </c>
    </row>
    <row r="121" spans="1:5">
      <c r="A121" s="142">
        <v>43374</v>
      </c>
      <c r="B121" s="153">
        <v>960.49999999999989</v>
      </c>
      <c r="C121" s="141">
        <v>11.01935483870969</v>
      </c>
      <c r="D121" s="141">
        <f t="shared" si="8"/>
        <v>1.1000000000000001</v>
      </c>
      <c r="E121" s="141">
        <f t="shared" si="9"/>
        <v>1.3340277777777778</v>
      </c>
    </row>
    <row r="122" spans="1:5">
      <c r="A122" s="142">
        <v>43405</v>
      </c>
      <c r="B122" s="153">
        <v>1374.5</v>
      </c>
      <c r="C122" s="141">
        <v>4.2866666666666786</v>
      </c>
      <c r="D122" s="141">
        <f t="shared" si="8"/>
        <v>2.6664444444444415</v>
      </c>
      <c r="E122" s="141">
        <f t="shared" si="9"/>
        <v>1.8474462365591398</v>
      </c>
    </row>
    <row r="123" spans="1:5">
      <c r="A123" s="142">
        <v>43435</v>
      </c>
      <c r="B123" s="153">
        <v>1798.36</v>
      </c>
      <c r="C123" s="141">
        <v>3.2290322580642932</v>
      </c>
      <c r="D123" s="141">
        <f t="shared" si="8"/>
        <v>2.9132258064516652</v>
      </c>
      <c r="E123" s="141">
        <f t="shared" si="9"/>
        <v>2.497722222222222</v>
      </c>
    </row>
    <row r="124" spans="1:5">
      <c r="C124" s="141">
        <v>-1.2903225806557232E-2</v>
      </c>
      <c r="D124" s="141">
        <f t="shared" si="8"/>
        <v>3.6696774193548634</v>
      </c>
      <c r="E124" s="141">
        <f t="shared" si="9"/>
        <v>0</v>
      </c>
    </row>
    <row r="125" spans="1:5">
      <c r="C125" s="141">
        <v>3.067857142857195</v>
      </c>
      <c r="D125" s="141">
        <f t="shared" si="8"/>
        <v>2.9508333333333212</v>
      </c>
      <c r="E125" s="141" t="e">
        <f t="shared" si="9"/>
        <v>#DIV/0!</v>
      </c>
    </row>
    <row r="126" spans="1:5">
      <c r="C126" s="141">
        <v>7.361290322580551</v>
      </c>
      <c r="D126" s="141">
        <f t="shared" si="8"/>
        <v>1.9490322580645381</v>
      </c>
      <c r="E126" s="141" t="e">
        <f t="shared" si="9"/>
        <v>#DIV/0!</v>
      </c>
    </row>
    <row r="127" spans="1:5">
      <c r="C127" s="141">
        <v>10.860000000000097</v>
      </c>
      <c r="D127" s="141">
        <f t="shared" si="8"/>
        <v>1.1326666666666441</v>
      </c>
      <c r="E127" s="141" t="e">
        <f t="shared" si="9"/>
        <v>#DIV/0!</v>
      </c>
    </row>
    <row r="128" spans="1:5">
      <c r="C128" s="141">
        <v>12.29354838709661</v>
      </c>
      <c r="D128" s="141">
        <f t="shared" si="8"/>
        <v>1.1000000000000001</v>
      </c>
      <c r="E128" s="141" t="e">
        <f t="shared" si="9"/>
        <v>#DIV/0!</v>
      </c>
    </row>
    <row r="129" spans="3:5">
      <c r="C129" s="141">
        <v>22.053333333333526</v>
      </c>
      <c r="D129" s="141">
        <f t="shared" si="8"/>
        <v>1.1000000000000001</v>
      </c>
      <c r="E129" s="141" t="e">
        <f t="shared" si="9"/>
        <v>#DIV/0!</v>
      </c>
    </row>
    <row r="130" spans="3:5">
      <c r="C130" s="141">
        <v>20.22903225806435</v>
      </c>
      <c r="D130" s="141">
        <f t="shared" si="8"/>
        <v>1.1000000000000001</v>
      </c>
      <c r="E130" s="141" t="e">
        <f t="shared" si="9"/>
        <v>#DIV/0!</v>
      </c>
    </row>
    <row r="131" spans="3:5">
      <c r="C131" s="141">
        <v>20.332258064516104</v>
      </c>
      <c r="D131" s="141">
        <f t="shared" si="8"/>
        <v>1.1000000000000001</v>
      </c>
      <c r="E131" s="141" t="e">
        <f t="shared" si="9"/>
        <v>#DIV/0!</v>
      </c>
    </row>
    <row r="132" spans="3:5">
      <c r="C132" s="141">
        <v>14.676666666666522</v>
      </c>
      <c r="D132" s="141">
        <f t="shared" si="8"/>
        <v>1.1000000000000001</v>
      </c>
      <c r="E132" s="141" t="e">
        <f t="shared" si="9"/>
        <v>#DIV/0!</v>
      </c>
    </row>
    <row r="133" spans="3:5">
      <c r="C133" s="141">
        <v>10.209677419354721</v>
      </c>
      <c r="D133" s="141">
        <f t="shared" si="8"/>
        <v>1.2844086021505652</v>
      </c>
      <c r="E133" s="141" t="e">
        <f t="shared" si="9"/>
        <v>#DIV/0!</v>
      </c>
    </row>
    <row r="134" spans="3:5">
      <c r="C134" s="141">
        <v>6.1799999999999269</v>
      </c>
      <c r="D134" s="141">
        <f t="shared" si="8"/>
        <v>2.2246666666666837</v>
      </c>
      <c r="E134" s="141" t="e">
        <f t="shared" si="9"/>
        <v>#DIV/0!</v>
      </c>
    </row>
    <row r="135" spans="3:5">
      <c r="C135" s="141">
        <v>2.5</v>
      </c>
      <c r="D135" s="141">
        <f t="shared" si="8"/>
        <v>3.0833333333333335</v>
      </c>
      <c r="E135" s="141" t="e">
        <f t="shared" si="9"/>
        <v>#DIV/0!</v>
      </c>
    </row>
  </sheetData>
  <hyperlinks>
    <hyperlink ref="B1" r:id="rId1" location="text67"/>
  </hyperlinks>
  <pageMargins left="0.7" right="0.7" top="0.78740157499999996" bottom="0.78740157499999996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46"/>
  <sheetViews>
    <sheetView workbookViewId="0">
      <pane ySplit="4" topLeftCell="A21" activePane="bottomLeft" state="frozen"/>
      <selection pane="bottomLeft" activeCell="A2" sqref="A2"/>
    </sheetView>
  </sheetViews>
  <sheetFormatPr defaultRowHeight="15"/>
  <cols>
    <col min="1" max="1" width="11.42578125" style="141" customWidth="1"/>
    <col min="2" max="7" width="7" style="141" customWidth="1"/>
    <col min="8" max="16384" width="9.140625" style="141"/>
  </cols>
  <sheetData>
    <row r="1" spans="1:15">
      <c r="A1" s="141" t="s">
        <v>1539</v>
      </c>
      <c r="I1" s="141" t="s">
        <v>1044</v>
      </c>
      <c r="N1" s="146" t="s">
        <v>1039</v>
      </c>
    </row>
    <row r="2" spans="1:15">
      <c r="A2" s="141" t="s">
        <v>1038</v>
      </c>
      <c r="C2" s="141" t="s">
        <v>1037</v>
      </c>
      <c r="E2" s="87">
        <v>0</v>
      </c>
      <c r="F2" s="88">
        <v>6.5</v>
      </c>
      <c r="G2" s="141" t="s">
        <v>5</v>
      </c>
      <c r="I2" s="141" t="s">
        <v>1045</v>
      </c>
      <c r="N2" s="141">
        <f>9/6.5</f>
        <v>1.3846153846153846</v>
      </c>
      <c r="O2" s="141" t="s">
        <v>1042</v>
      </c>
    </row>
    <row r="3" spans="1:15">
      <c r="C3" s="141" t="s">
        <v>256</v>
      </c>
      <c r="E3" s="89">
        <v>0.95</v>
      </c>
      <c r="F3" s="90">
        <v>19</v>
      </c>
      <c r="G3" s="141" t="s">
        <v>6</v>
      </c>
      <c r="I3" s="141" t="s">
        <v>1043</v>
      </c>
      <c r="N3" s="141">
        <f>7.5/6.5</f>
        <v>1.1538461538461537</v>
      </c>
      <c r="O3" s="141" t="s">
        <v>1040</v>
      </c>
    </row>
    <row r="4" spans="1:15">
      <c r="B4" s="141" t="s">
        <v>269</v>
      </c>
      <c r="C4" s="141" t="s">
        <v>1036</v>
      </c>
      <c r="D4" s="141" t="s">
        <v>1035</v>
      </c>
      <c r="E4" s="141" t="s">
        <v>490</v>
      </c>
      <c r="F4" s="141" t="s">
        <v>1034</v>
      </c>
      <c r="G4" s="141" t="s">
        <v>238</v>
      </c>
      <c r="I4" s="146" t="s">
        <v>421</v>
      </c>
    </row>
    <row r="5" spans="1:15">
      <c r="A5" s="142">
        <v>43013</v>
      </c>
      <c r="B5" s="143">
        <v>22250</v>
      </c>
      <c r="C5" s="143">
        <v>22250</v>
      </c>
      <c r="D5" s="141">
        <v>12.2</v>
      </c>
    </row>
    <row r="6" spans="1:15">
      <c r="A6" s="142">
        <v>43073</v>
      </c>
      <c r="B6" s="141">
        <v>22470</v>
      </c>
      <c r="C6" s="141">
        <v>22470</v>
      </c>
      <c r="D6" s="141">
        <v>7.0683333333333698</v>
      </c>
      <c r="E6" s="141">
        <f t="shared" ref="E6:E40" si="0">(C6-C5)/(A6-A5)/24*10.7*E$3-E$2</f>
        <v>1.5529861111111107</v>
      </c>
      <c r="F6" s="141">
        <f t="shared" ref="F6:F26" si="1">(F$3-D6)*F$2/30</f>
        <v>2.5851944444444359</v>
      </c>
      <c r="G6" s="141">
        <f>E6/F6</f>
        <v>0.60072313494579355</v>
      </c>
    </row>
    <row r="7" spans="1:15">
      <c r="A7" s="142">
        <v>43099</v>
      </c>
      <c r="B7" s="141">
        <v>22770</v>
      </c>
      <c r="C7" s="141">
        <v>22770</v>
      </c>
      <c r="D7" s="141">
        <v>2.1615384615386293</v>
      </c>
      <c r="E7" s="141">
        <f t="shared" si="0"/>
        <v>4.8870192307692308</v>
      </c>
      <c r="F7" s="141">
        <f t="shared" si="1"/>
        <v>3.648333333333297</v>
      </c>
      <c r="G7" s="141">
        <f t="shared" ref="G7:G40" si="2">E7/F7</f>
        <v>1.3395210317321005</v>
      </c>
    </row>
    <row r="8" spans="1:15">
      <c r="A8" s="142">
        <v>43119</v>
      </c>
      <c r="B8" s="141">
        <v>22994</v>
      </c>
      <c r="C8" s="141">
        <v>22994</v>
      </c>
      <c r="D8" s="141">
        <v>3.6800000000000184</v>
      </c>
      <c r="E8" s="141">
        <f t="shared" si="0"/>
        <v>4.7436666666666651</v>
      </c>
      <c r="F8" s="141">
        <f t="shared" si="1"/>
        <v>3.3193333333333297</v>
      </c>
      <c r="G8" s="141">
        <f t="shared" si="2"/>
        <v>1.4291022293633271</v>
      </c>
    </row>
    <row r="9" spans="1:15">
      <c r="A9" s="142">
        <v>43133</v>
      </c>
      <c r="B9" s="141">
        <v>166</v>
      </c>
      <c r="C9" s="141">
        <f t="shared" ref="C9:C40" si="3">B9+22994</f>
        <v>23160</v>
      </c>
      <c r="D9" s="141">
        <v>3.1714285714285455</v>
      </c>
      <c r="E9" s="141">
        <f t="shared" si="0"/>
        <v>5.0219940476190477</v>
      </c>
      <c r="F9" s="141">
        <f t="shared" si="1"/>
        <v>3.4295238095238152</v>
      </c>
      <c r="G9" s="141">
        <f t="shared" si="2"/>
        <v>1.4643415023604531</v>
      </c>
    </row>
    <row r="10" spans="1:15">
      <c r="A10" s="142">
        <v>43156</v>
      </c>
      <c r="B10" s="141">
        <v>455</v>
      </c>
      <c r="C10" s="141">
        <f t="shared" si="3"/>
        <v>23449</v>
      </c>
      <c r="D10" s="141">
        <v>-1.4434782608696759</v>
      </c>
      <c r="E10" s="141">
        <f t="shared" si="0"/>
        <v>5.3218931159420286</v>
      </c>
      <c r="F10" s="141">
        <f t="shared" si="1"/>
        <v>4.4294202898550967</v>
      </c>
      <c r="G10" s="141">
        <f t="shared" si="2"/>
        <v>1.2014875012269672</v>
      </c>
    </row>
    <row r="11" spans="1:15">
      <c r="A11" s="142">
        <v>43167</v>
      </c>
      <c r="B11" s="141">
        <v>606</v>
      </c>
      <c r="C11" s="141">
        <f t="shared" si="3"/>
        <v>23600</v>
      </c>
      <c r="D11" s="141">
        <v>-4.4727272727271732</v>
      </c>
      <c r="E11" s="141">
        <f t="shared" si="0"/>
        <v>5.8140719696969683</v>
      </c>
      <c r="F11" s="141">
        <f t="shared" si="1"/>
        <v>5.0857575757575546</v>
      </c>
      <c r="G11" s="141">
        <f t="shared" si="2"/>
        <v>1.1432066674611259</v>
      </c>
    </row>
    <row r="12" spans="1:15">
      <c r="A12" s="142">
        <v>43204</v>
      </c>
      <c r="B12" s="141">
        <v>925</v>
      </c>
      <c r="C12" s="141">
        <f t="shared" si="3"/>
        <v>23919</v>
      </c>
      <c r="D12" s="141">
        <v>6.383783783783902</v>
      </c>
      <c r="E12" s="141">
        <f t="shared" si="0"/>
        <v>3.6516159909909907</v>
      </c>
      <c r="F12" s="141">
        <f t="shared" si="1"/>
        <v>2.733513513513488</v>
      </c>
      <c r="G12" s="141">
        <f t="shared" si="2"/>
        <v>1.3358690099532124</v>
      </c>
    </row>
    <row r="13" spans="1:15">
      <c r="A13" s="142">
        <v>43440</v>
      </c>
      <c r="B13" s="141">
        <v>1430</v>
      </c>
      <c r="C13" s="141">
        <f t="shared" si="3"/>
        <v>24424</v>
      </c>
      <c r="D13" s="141">
        <v>15.652966101694901</v>
      </c>
      <c r="E13" s="141">
        <f t="shared" si="0"/>
        <v>0.90630737994350263</v>
      </c>
      <c r="F13" s="141">
        <f t="shared" si="1"/>
        <v>0.72519067796610481</v>
      </c>
      <c r="G13" s="141">
        <f t="shared" si="2"/>
        <v>1.2497504552669707</v>
      </c>
    </row>
    <row r="14" spans="1:15">
      <c r="A14" s="142">
        <v>43460</v>
      </c>
      <c r="B14" s="141">
        <v>1640</v>
      </c>
      <c r="C14" s="141">
        <f t="shared" si="3"/>
        <v>24634</v>
      </c>
      <c r="D14" s="141">
        <v>2.724999999999818</v>
      </c>
      <c r="E14" s="141">
        <f t="shared" si="0"/>
        <v>4.4471874999999992</v>
      </c>
      <c r="F14" s="141">
        <f t="shared" si="1"/>
        <v>3.5262500000000396</v>
      </c>
      <c r="G14" s="141">
        <f t="shared" si="2"/>
        <v>1.2611662531017225</v>
      </c>
    </row>
    <row r="15" spans="1:15">
      <c r="A15" s="142">
        <v>43477</v>
      </c>
      <c r="B15" s="141">
        <v>1812</v>
      </c>
      <c r="C15" s="141">
        <f t="shared" si="3"/>
        <v>24806</v>
      </c>
      <c r="D15" s="141">
        <v>2.1470588235293047</v>
      </c>
      <c r="E15" s="141">
        <f t="shared" si="0"/>
        <v>4.2852450980392156</v>
      </c>
      <c r="F15" s="141">
        <f t="shared" si="1"/>
        <v>3.6514705882353171</v>
      </c>
      <c r="G15" s="141">
        <f t="shared" si="2"/>
        <v>1.1735669217344535</v>
      </c>
    </row>
    <row r="16" spans="1:15">
      <c r="A16" s="142">
        <v>43494</v>
      </c>
      <c r="B16" s="141">
        <v>2005</v>
      </c>
      <c r="C16" s="141">
        <f t="shared" si="3"/>
        <v>24999</v>
      </c>
      <c r="D16" s="141">
        <v>-0.42941176470605358</v>
      </c>
      <c r="E16" s="141">
        <f t="shared" si="0"/>
        <v>4.8084436274509805</v>
      </c>
      <c r="F16" s="141">
        <f t="shared" si="1"/>
        <v>4.2097058823529787</v>
      </c>
      <c r="G16" s="141">
        <f t="shared" si="2"/>
        <v>1.1422279279908607</v>
      </c>
    </row>
    <row r="17" spans="1:7">
      <c r="A17" s="142">
        <v>43508</v>
      </c>
      <c r="B17" s="141">
        <v>2150</v>
      </c>
      <c r="C17" s="141">
        <f t="shared" si="3"/>
        <v>25144</v>
      </c>
      <c r="D17" s="141">
        <v>0.8642857142857403</v>
      </c>
      <c r="E17" s="141">
        <f t="shared" si="0"/>
        <v>4.3866815476190473</v>
      </c>
      <c r="F17" s="141">
        <f t="shared" si="1"/>
        <v>3.9294047619047565</v>
      </c>
      <c r="G17" s="141">
        <f t="shared" si="2"/>
        <v>1.116373042081984</v>
      </c>
    </row>
    <row r="18" spans="1:7">
      <c r="A18" s="142">
        <v>43521</v>
      </c>
      <c r="B18" s="141">
        <v>2275</v>
      </c>
      <c r="C18" s="141">
        <f t="shared" si="3"/>
        <v>25269</v>
      </c>
      <c r="D18" s="141">
        <v>3.0692307692307415</v>
      </c>
      <c r="E18" s="141">
        <f t="shared" si="0"/>
        <v>4.0725160256410247</v>
      </c>
      <c r="F18" s="141">
        <f t="shared" si="1"/>
        <v>3.4516666666666729</v>
      </c>
      <c r="G18" s="141">
        <f t="shared" si="2"/>
        <v>1.179869442484119</v>
      </c>
    </row>
    <row r="19" spans="1:7">
      <c r="A19" s="142">
        <v>43526</v>
      </c>
      <c r="B19" s="141">
        <v>2315</v>
      </c>
      <c r="C19" s="141">
        <f t="shared" si="3"/>
        <v>25309</v>
      </c>
      <c r="D19" s="141">
        <v>7.3800000000002912</v>
      </c>
      <c r="E19" s="141">
        <f t="shared" si="0"/>
        <v>3.3883333333333328</v>
      </c>
      <c r="F19" s="141">
        <f t="shared" si="1"/>
        <v>2.5176666666666039</v>
      </c>
      <c r="G19" s="141">
        <f t="shared" si="2"/>
        <v>1.3458228518469815</v>
      </c>
    </row>
    <row r="20" spans="1:7">
      <c r="A20" s="142">
        <v>43536</v>
      </c>
      <c r="B20" s="141">
        <v>2385</v>
      </c>
      <c r="C20" s="141">
        <f t="shared" si="3"/>
        <v>25379</v>
      </c>
      <c r="D20" s="141">
        <v>7.0399999999999636</v>
      </c>
      <c r="E20" s="141">
        <f t="shared" si="0"/>
        <v>2.9647916666666663</v>
      </c>
      <c r="F20" s="141">
        <f t="shared" si="1"/>
        <v>2.591333333333341</v>
      </c>
      <c r="G20" s="141">
        <f t="shared" si="2"/>
        <v>1.1441182145613549</v>
      </c>
    </row>
    <row r="21" spans="1:7">
      <c r="A21" s="142">
        <v>43548</v>
      </c>
      <c r="B21" s="141">
        <v>2470</v>
      </c>
      <c r="C21" s="141">
        <f t="shared" si="3"/>
        <v>25464</v>
      </c>
      <c r="D21" s="141">
        <v>7.6499999999999391</v>
      </c>
      <c r="E21" s="141">
        <f t="shared" si="0"/>
        <v>3.0000868055555556</v>
      </c>
      <c r="F21" s="141">
        <f t="shared" si="1"/>
        <v>2.4591666666666803</v>
      </c>
      <c r="G21" s="141">
        <f t="shared" si="2"/>
        <v>1.219960747769111</v>
      </c>
    </row>
    <row r="22" spans="1:7">
      <c r="A22" s="142">
        <v>43558</v>
      </c>
      <c r="B22" s="141">
        <v>2525</v>
      </c>
      <c r="C22" s="141">
        <f t="shared" si="3"/>
        <v>25519</v>
      </c>
      <c r="D22" s="141">
        <v>8.3099999999998548</v>
      </c>
      <c r="E22" s="141">
        <f t="shared" si="0"/>
        <v>2.3294791666666663</v>
      </c>
      <c r="F22" s="141">
        <f t="shared" si="1"/>
        <v>2.3161666666666978</v>
      </c>
      <c r="G22" s="141">
        <f t="shared" si="2"/>
        <v>1.0057476433762547</v>
      </c>
    </row>
    <row r="23" spans="1:7">
      <c r="A23" s="142">
        <v>43614</v>
      </c>
      <c r="B23" s="141">
        <v>2721</v>
      </c>
      <c r="C23" s="141">
        <f t="shared" si="3"/>
        <v>25715</v>
      </c>
      <c r="D23" s="141">
        <v>11.339285714285682</v>
      </c>
      <c r="E23" s="141">
        <f t="shared" si="0"/>
        <v>1.4823958333333331</v>
      </c>
      <c r="F23" s="141">
        <f t="shared" si="1"/>
        <v>1.6598214285714357</v>
      </c>
      <c r="G23" s="141">
        <f t="shared" si="2"/>
        <v>0.89310561233637764</v>
      </c>
    </row>
    <row r="24" spans="1:7">
      <c r="A24" s="142">
        <v>43742</v>
      </c>
      <c r="B24" s="143">
        <v>2750</v>
      </c>
      <c r="C24" s="141">
        <f t="shared" si="3"/>
        <v>25744</v>
      </c>
      <c r="D24" s="141">
        <v>19.060156249999977</v>
      </c>
      <c r="E24" s="141">
        <f t="shared" si="0"/>
        <v>9.5958658854166656E-2</v>
      </c>
      <c r="F24" s="141">
        <f t="shared" si="1"/>
        <v>-1.3033854166661741E-2</v>
      </c>
      <c r="G24" s="141">
        <f t="shared" si="2"/>
        <v>-7.3622627372655192</v>
      </c>
    </row>
    <row r="25" spans="1:7">
      <c r="A25" s="142">
        <v>43751</v>
      </c>
      <c r="B25" s="141">
        <v>2788</v>
      </c>
      <c r="C25" s="141">
        <f t="shared" si="3"/>
        <v>25782</v>
      </c>
      <c r="D25" s="141">
        <v>10.677777777777615</v>
      </c>
      <c r="E25" s="141">
        <f t="shared" si="0"/>
        <v>1.788287037037037</v>
      </c>
      <c r="F25" s="141">
        <f t="shared" si="1"/>
        <v>1.8031481481481832</v>
      </c>
      <c r="G25" s="141">
        <f t="shared" si="2"/>
        <v>0.99175824175822236</v>
      </c>
    </row>
    <row r="26" spans="1:7">
      <c r="A26" s="142">
        <v>43764</v>
      </c>
      <c r="B26" s="141">
        <v>2838</v>
      </c>
      <c r="C26" s="141">
        <f t="shared" si="3"/>
        <v>25832</v>
      </c>
      <c r="D26" s="141">
        <v>12.253846153845817</v>
      </c>
      <c r="E26" s="141">
        <f t="shared" si="0"/>
        <v>1.6290064102564104</v>
      </c>
      <c r="F26" s="141">
        <f t="shared" si="1"/>
        <v>1.4616666666667397</v>
      </c>
      <c r="G26" s="141">
        <f t="shared" si="2"/>
        <v>1.114485571441046</v>
      </c>
    </row>
    <row r="27" spans="1:7">
      <c r="A27" s="142">
        <v>43769</v>
      </c>
      <c r="B27" s="141">
        <v>2863</v>
      </c>
      <c r="C27" s="141">
        <f t="shared" si="3"/>
        <v>25857</v>
      </c>
      <c r="D27" s="141">
        <v>5.6199999999997088</v>
      </c>
      <c r="E27" s="141">
        <f t="shared" si="0"/>
        <v>2.1177083333333333</v>
      </c>
      <c r="F27" s="141">
        <f t="shared" ref="F27:F40" si="4">(F$3-D27)*F$2/30</f>
        <v>2.8990000000000631</v>
      </c>
      <c r="G27" s="141">
        <f t="shared" si="2"/>
        <v>0.73049614809702901</v>
      </c>
    </row>
    <row r="28" spans="1:7">
      <c r="A28" s="142">
        <v>43780</v>
      </c>
      <c r="B28" s="141">
        <v>2932</v>
      </c>
      <c r="C28" s="141">
        <f t="shared" si="3"/>
        <v>25926</v>
      </c>
      <c r="D28" s="141">
        <v>6.4181818181816856</v>
      </c>
      <c r="E28" s="141">
        <f t="shared" si="0"/>
        <v>2.6567613636363632</v>
      </c>
      <c r="F28" s="141">
        <f t="shared" si="4"/>
        <v>2.7260606060606345</v>
      </c>
      <c r="G28" s="141">
        <f t="shared" si="2"/>
        <v>0.97457897954645478</v>
      </c>
    </row>
    <row r="29" spans="1:7">
      <c r="A29" s="142">
        <v>43812</v>
      </c>
      <c r="B29" s="141">
        <v>3164</v>
      </c>
      <c r="C29" s="141">
        <f t="shared" si="3"/>
        <v>26158</v>
      </c>
      <c r="D29" s="141">
        <v>4.625</v>
      </c>
      <c r="E29" s="141">
        <f t="shared" si="0"/>
        <v>3.070677083333333</v>
      </c>
      <c r="F29" s="141">
        <f t="shared" si="4"/>
        <v>3.1145833333333335</v>
      </c>
      <c r="G29" s="141">
        <f t="shared" si="2"/>
        <v>0.98590301003344472</v>
      </c>
    </row>
    <row r="30" spans="1:7">
      <c r="A30" s="142">
        <v>43832</v>
      </c>
      <c r="B30" s="141">
        <v>3343</v>
      </c>
      <c r="C30" s="141">
        <f t="shared" si="3"/>
        <v>26337</v>
      </c>
      <c r="D30" s="141">
        <v>2.9849999999993089</v>
      </c>
      <c r="E30" s="141">
        <f t="shared" si="0"/>
        <v>3.7906979166666659</v>
      </c>
      <c r="F30" s="141">
        <f t="shared" si="4"/>
        <v>3.4699166666668164</v>
      </c>
      <c r="G30" s="141">
        <f t="shared" si="2"/>
        <v>1.0924463843991936</v>
      </c>
    </row>
    <row r="31" spans="1:7">
      <c r="A31" s="142">
        <v>43968</v>
      </c>
      <c r="B31" s="141">
        <v>4247</v>
      </c>
      <c r="C31" s="141">
        <f t="shared" si="3"/>
        <v>27241</v>
      </c>
      <c r="D31" s="141">
        <v>6.4316176470588289</v>
      </c>
      <c r="E31" s="141">
        <f t="shared" si="0"/>
        <v>2.8153063725490193</v>
      </c>
      <c r="F31" s="141">
        <f t="shared" si="4"/>
        <v>2.7231495098039202</v>
      </c>
      <c r="G31" s="141">
        <f t="shared" si="2"/>
        <v>1.0338420135998097</v>
      </c>
    </row>
    <row r="32" spans="1:7">
      <c r="A32" s="142">
        <v>44075</v>
      </c>
      <c r="B32" s="141">
        <v>4247</v>
      </c>
      <c r="C32" s="141">
        <f t="shared" si="3"/>
        <v>27241</v>
      </c>
      <c r="D32" s="141">
        <v>18.39158878504681</v>
      </c>
      <c r="E32" s="141">
        <f t="shared" si="0"/>
        <v>0</v>
      </c>
      <c r="F32" s="141">
        <f t="shared" si="4"/>
        <v>0.13182242990652443</v>
      </c>
      <c r="G32" s="141">
        <f t="shared" si="2"/>
        <v>0</v>
      </c>
    </row>
    <row r="33" spans="1:11">
      <c r="A33" s="142">
        <v>44106</v>
      </c>
      <c r="B33" s="143">
        <v>4300</v>
      </c>
      <c r="C33" s="141">
        <f t="shared" si="3"/>
        <v>27294</v>
      </c>
      <c r="D33" s="141">
        <v>15.609677419354533</v>
      </c>
      <c r="E33" s="141">
        <f t="shared" si="0"/>
        <v>0.72411962365591387</v>
      </c>
      <c r="F33" s="141">
        <f t="shared" si="4"/>
        <v>0.73456989247318449</v>
      </c>
      <c r="G33" s="141">
        <f t="shared" si="2"/>
        <v>0.98577362219123066</v>
      </c>
      <c r="I33" s="143">
        <v>4300</v>
      </c>
    </row>
    <row r="34" spans="1:11">
      <c r="A34" s="142">
        <v>44157</v>
      </c>
      <c r="B34" s="141">
        <v>4517</v>
      </c>
      <c r="C34" s="141">
        <f t="shared" si="3"/>
        <v>27511</v>
      </c>
      <c r="D34" s="141">
        <v>8.4862745098041206</v>
      </c>
      <c r="E34" s="141">
        <f t="shared" si="0"/>
        <v>1.8021282679738559</v>
      </c>
      <c r="F34" s="141">
        <f t="shared" si="4"/>
        <v>2.2779738562091074</v>
      </c>
      <c r="G34" s="141">
        <f t="shared" si="2"/>
        <v>0.79111016268328449</v>
      </c>
      <c r="I34" s="141">
        <v>4517</v>
      </c>
      <c r="J34" s="141">
        <f>A33-A32</f>
        <v>31</v>
      </c>
      <c r="K34" s="141">
        <f t="shared" ref="K34:K40" si="5">B33-B32</f>
        <v>53</v>
      </c>
    </row>
    <row r="35" spans="1:11">
      <c r="A35" s="142">
        <v>44179</v>
      </c>
      <c r="B35" s="75">
        <v>4718</v>
      </c>
      <c r="C35" s="141">
        <f t="shared" si="3"/>
        <v>27712</v>
      </c>
      <c r="D35" s="141">
        <v>2.1909090909089586</v>
      </c>
      <c r="E35" s="141">
        <f t="shared" si="0"/>
        <v>3.8696306818181814</v>
      </c>
      <c r="F35" s="141">
        <f t="shared" si="4"/>
        <v>3.6419696969697251</v>
      </c>
      <c r="G35" s="141">
        <f t="shared" si="2"/>
        <v>1.06251040063235</v>
      </c>
      <c r="I35" s="75">
        <v>4718</v>
      </c>
      <c r="J35" s="141">
        <f t="shared" ref="J35:J40" si="6">A34-A33</f>
        <v>51</v>
      </c>
      <c r="K35" s="141">
        <f t="shared" si="5"/>
        <v>217</v>
      </c>
    </row>
    <row r="36" spans="1:11">
      <c r="A36" s="142">
        <v>44206</v>
      </c>
      <c r="B36" s="141">
        <v>4943</v>
      </c>
      <c r="C36" s="141">
        <f t="shared" si="3"/>
        <v>27937</v>
      </c>
      <c r="D36" s="141">
        <v>1.844444444444687</v>
      </c>
      <c r="E36" s="141">
        <f t="shared" si="0"/>
        <v>3.5295138888888888</v>
      </c>
      <c r="F36" s="141">
        <f t="shared" si="4"/>
        <v>3.717037037036985</v>
      </c>
      <c r="G36" s="141">
        <f t="shared" si="2"/>
        <v>0.9495503686727913</v>
      </c>
      <c r="I36" s="141">
        <v>4943</v>
      </c>
      <c r="J36" s="141">
        <f t="shared" si="6"/>
        <v>22</v>
      </c>
      <c r="K36" s="141">
        <f t="shared" si="5"/>
        <v>201</v>
      </c>
    </row>
    <row r="37" spans="1:11">
      <c r="A37" s="142">
        <v>44220</v>
      </c>
      <c r="B37" s="141">
        <v>5081</v>
      </c>
      <c r="C37" s="141">
        <f t="shared" si="3"/>
        <v>28075</v>
      </c>
      <c r="D37" s="141">
        <v>0.19999999999994802</v>
      </c>
      <c r="E37" s="141">
        <f t="shared" si="0"/>
        <v>4.1749107142857138</v>
      </c>
      <c r="F37" s="141">
        <f t="shared" si="4"/>
        <v>4.0733333333333439</v>
      </c>
      <c r="G37" s="141">
        <f t="shared" si="2"/>
        <v>1.0249371638999272</v>
      </c>
      <c r="I37" s="141">
        <v>5081</v>
      </c>
      <c r="J37" s="141">
        <f t="shared" si="6"/>
        <v>27</v>
      </c>
      <c r="K37" s="141">
        <f t="shared" si="5"/>
        <v>225</v>
      </c>
    </row>
    <row r="38" spans="1:11">
      <c r="A38" s="142">
        <v>44239</v>
      </c>
      <c r="B38" s="141">
        <v>5280</v>
      </c>
      <c r="C38" s="141">
        <f t="shared" si="3"/>
        <v>28274</v>
      </c>
      <c r="D38" s="141">
        <v>-1.5052631578950433</v>
      </c>
      <c r="E38" s="141">
        <f t="shared" si="0"/>
        <v>4.4360416666666662</v>
      </c>
      <c r="F38" s="141">
        <f t="shared" si="4"/>
        <v>4.4428070175439265</v>
      </c>
      <c r="G38" s="141">
        <f t="shared" si="2"/>
        <v>0.99847723503394481</v>
      </c>
      <c r="I38" s="141">
        <v>5280</v>
      </c>
      <c r="J38" s="141">
        <f t="shared" si="6"/>
        <v>14</v>
      </c>
      <c r="K38" s="141">
        <f t="shared" si="5"/>
        <v>138</v>
      </c>
    </row>
    <row r="39" spans="1:11">
      <c r="A39" s="142">
        <v>44248</v>
      </c>
      <c r="B39" s="141">
        <v>5370</v>
      </c>
      <c r="C39" s="141">
        <f t="shared" si="3"/>
        <v>28364</v>
      </c>
      <c r="D39" s="141">
        <v>-1.2999999999996765</v>
      </c>
      <c r="E39" s="141">
        <f t="shared" si="0"/>
        <v>4.2354166666666666</v>
      </c>
      <c r="F39" s="141">
        <f t="shared" si="4"/>
        <v>4.3983333333332642</v>
      </c>
      <c r="G39" s="141">
        <f t="shared" si="2"/>
        <v>0.96295945433877983</v>
      </c>
      <c r="I39" s="141">
        <v>5370</v>
      </c>
      <c r="J39" s="141">
        <f t="shared" si="6"/>
        <v>19</v>
      </c>
      <c r="K39" s="141">
        <f t="shared" si="5"/>
        <v>199</v>
      </c>
    </row>
    <row r="40" spans="1:11">
      <c r="A40" s="142">
        <v>44259</v>
      </c>
      <c r="B40" s="141">
        <v>5460</v>
      </c>
      <c r="C40" s="141">
        <f t="shared" si="3"/>
        <v>28454</v>
      </c>
      <c r="D40" s="141">
        <v>2.5545454545456532</v>
      </c>
      <c r="E40" s="141">
        <f t="shared" si="0"/>
        <v>3.4653409090909082</v>
      </c>
      <c r="F40" s="141">
        <f t="shared" si="4"/>
        <v>3.5631818181817749</v>
      </c>
      <c r="G40" s="141">
        <f t="shared" si="2"/>
        <v>0.97254114045159978</v>
      </c>
      <c r="I40" s="141">
        <v>5460</v>
      </c>
      <c r="J40" s="141">
        <f t="shared" si="6"/>
        <v>9</v>
      </c>
      <c r="K40" s="141">
        <f t="shared" si="5"/>
        <v>90</v>
      </c>
    </row>
    <row r="41" spans="1:11">
      <c r="A41" s="45" t="s">
        <v>1046</v>
      </c>
      <c r="B41" s="143"/>
      <c r="C41" s="143"/>
      <c r="D41" s="143"/>
      <c r="E41" s="143">
        <f t="shared" ref="E41:F41" si="7">SUM(E35:E40)/6</f>
        <v>3.9518090879028374</v>
      </c>
      <c r="F41" s="143">
        <f t="shared" si="7"/>
        <v>3.972777039399837</v>
      </c>
      <c r="G41" s="143">
        <f>SUM(G35:G40)/6</f>
        <v>0.99516262717156534</v>
      </c>
    </row>
    <row r="42" spans="1:11">
      <c r="A42" s="142"/>
      <c r="B42" s="141">
        <v>4718</v>
      </c>
    </row>
    <row r="43" spans="1:11">
      <c r="A43" s="142"/>
      <c r="B43" s="141">
        <v>4400</v>
      </c>
    </row>
    <row r="44" spans="1:11">
      <c r="A44" s="142">
        <v>43968</v>
      </c>
      <c r="B44" s="141">
        <v>0</v>
      </c>
      <c r="D44" s="141">
        <v>6.4316176470588289</v>
      </c>
    </row>
    <row r="45" spans="1:11">
      <c r="A45" s="142">
        <v>44075</v>
      </c>
      <c r="B45" s="141">
        <v>3</v>
      </c>
      <c r="D45" s="141">
        <v>18.39158878504681</v>
      </c>
    </row>
    <row r="46" spans="1:11">
      <c r="A46" s="142">
        <v>44220</v>
      </c>
      <c r="B46" s="141">
        <v>834</v>
      </c>
      <c r="D46" s="141">
        <v>7.0172413793103701</v>
      </c>
    </row>
  </sheetData>
  <hyperlinks>
    <hyperlink ref="I4" r:id="rId1"/>
    <hyperlink ref="N1" r:id="rId2" location="text43"/>
  </hyperlinks>
  <pageMargins left="0.7" right="0.7" top="0.78740157499999996" bottom="0.78740157499999996" header="0.3" footer="0.3"/>
  <pageSetup paperSize="0" orientation="portrait" horizontalDpi="0" verticalDpi="0" copie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S70"/>
  <sheetViews>
    <sheetView workbookViewId="0">
      <pane ySplit="22" topLeftCell="A23" activePane="bottomLeft" state="frozen"/>
      <selection pane="bottomLeft" activeCell="A2" sqref="A2"/>
    </sheetView>
  </sheetViews>
  <sheetFormatPr defaultRowHeight="15"/>
  <cols>
    <col min="1" max="1" width="9.140625" style="117"/>
    <col min="2" max="2" width="9.140625" style="30"/>
    <col min="3" max="16384" width="9.140625" style="117"/>
  </cols>
  <sheetData>
    <row r="1" spans="1:19">
      <c r="A1" s="141" t="s">
        <v>1540</v>
      </c>
      <c r="E1" s="30"/>
      <c r="F1" s="2">
        <f>9*14</f>
        <v>126</v>
      </c>
      <c r="G1" s="117" t="s">
        <v>8</v>
      </c>
    </row>
    <row r="2" spans="1:19">
      <c r="A2" s="117">
        <v>590</v>
      </c>
      <c r="B2" s="117" t="s">
        <v>480</v>
      </c>
      <c r="E2" s="30" t="s">
        <v>28</v>
      </c>
      <c r="F2" s="3">
        <v>590</v>
      </c>
      <c r="G2" s="117" t="s">
        <v>5</v>
      </c>
    </row>
    <row r="3" spans="1:19">
      <c r="A3" s="117">
        <v>17</v>
      </c>
      <c r="D3" s="117">
        <v>-0.71</v>
      </c>
      <c r="E3" s="31">
        <v>0.9</v>
      </c>
      <c r="F3" s="3">
        <v>17</v>
      </c>
      <c r="G3" s="117" t="s">
        <v>6</v>
      </c>
    </row>
    <row r="4" spans="1:19">
      <c r="B4" s="30" t="s">
        <v>150</v>
      </c>
      <c r="C4" s="117" t="s">
        <v>435</v>
      </c>
      <c r="D4" s="117" t="s">
        <v>12</v>
      </c>
      <c r="E4" s="30" t="s">
        <v>1</v>
      </c>
      <c r="F4" s="117" t="s">
        <v>2</v>
      </c>
      <c r="G4" s="117" t="s">
        <v>440</v>
      </c>
      <c r="H4" s="117" t="s">
        <v>434</v>
      </c>
    </row>
    <row r="5" spans="1:19">
      <c r="A5" s="17">
        <v>42125</v>
      </c>
      <c r="B5" s="117"/>
      <c r="C5" s="117">
        <v>8.4700000000000006</v>
      </c>
      <c r="D5" s="117">
        <f t="shared" ref="D5:D36" si="0">C5+D$3</f>
        <v>7.7600000000000007</v>
      </c>
      <c r="E5" s="30"/>
      <c r="F5" s="117">
        <f t="shared" ref="F5:F36" si="1">F$1+(IF(F$3-$D5&gt;0,F$3-$D5,0)*F$2/30)</f>
        <v>307.71999999999997</v>
      </c>
      <c r="H5" s="117">
        <f t="shared" ref="H5:H36" si="2">F5/14</f>
        <v>21.979999999999997</v>
      </c>
    </row>
    <row r="6" spans="1:19">
      <c r="A6" s="17">
        <v>42156</v>
      </c>
      <c r="B6" s="117"/>
      <c r="C6" s="117">
        <v>12.968387096774196</v>
      </c>
      <c r="D6" s="117">
        <f t="shared" si="0"/>
        <v>12.258387096774197</v>
      </c>
      <c r="E6" s="30"/>
      <c r="F6" s="117">
        <f t="shared" si="1"/>
        <v>219.25172043010747</v>
      </c>
      <c r="G6" s="117">
        <f t="shared" ref="G6:G37" si="3">G5+F6*24*(A6-A5)/E$3/10.7</f>
        <v>16939.073727933537</v>
      </c>
      <c r="H6" s="117">
        <f t="shared" si="2"/>
        <v>15.660837173579106</v>
      </c>
    </row>
    <row r="7" spans="1:19">
      <c r="A7" s="17">
        <v>42186</v>
      </c>
      <c r="B7" s="117"/>
      <c r="C7" s="117">
        <v>16.329999999999998</v>
      </c>
      <c r="D7" s="117">
        <f t="shared" si="0"/>
        <v>15.619999999999997</v>
      </c>
      <c r="E7" s="30">
        <f>(B7-B6)*10.7/(A7-A6)/24*E$3</f>
        <v>0</v>
      </c>
      <c r="F7" s="117">
        <f t="shared" si="1"/>
        <v>153.14000000000004</v>
      </c>
      <c r="G7" s="117">
        <f t="shared" si="3"/>
        <v>28388.793354101763</v>
      </c>
      <c r="H7" s="117">
        <f t="shared" si="2"/>
        <v>10.938571428571432</v>
      </c>
    </row>
    <row r="8" spans="1:19">
      <c r="A8" s="17">
        <v>42217</v>
      </c>
      <c r="B8" s="117"/>
      <c r="C8" s="117">
        <v>20.510322580645166</v>
      </c>
      <c r="D8" s="117">
        <f t="shared" si="0"/>
        <v>19.800322580645165</v>
      </c>
      <c r="E8" s="30">
        <f>(B8-B7)*10.7/(A8-A7)/24*E$3</f>
        <v>0</v>
      </c>
      <c r="F8" s="117">
        <f t="shared" si="1"/>
        <v>126</v>
      </c>
      <c r="G8" s="117">
        <f t="shared" si="3"/>
        <v>38123.372793354101</v>
      </c>
      <c r="H8" s="117">
        <f t="shared" si="2"/>
        <v>9</v>
      </c>
    </row>
    <row r="9" spans="1:19">
      <c r="A9" s="17">
        <v>42248</v>
      </c>
      <c r="B9" s="117"/>
      <c r="C9" s="117">
        <v>21.700645161290325</v>
      </c>
      <c r="D9" s="117">
        <f t="shared" si="0"/>
        <v>20.990645161290324</v>
      </c>
      <c r="E9" s="30"/>
      <c r="F9" s="117">
        <f t="shared" si="1"/>
        <v>126</v>
      </c>
      <c r="G9" s="117">
        <f t="shared" si="3"/>
        <v>47857.95223260644</v>
      </c>
      <c r="H9" s="117">
        <f t="shared" si="2"/>
        <v>9</v>
      </c>
    </row>
    <row r="10" spans="1:19">
      <c r="A10" s="17">
        <v>42278</v>
      </c>
      <c r="B10" s="117"/>
      <c r="C10" s="117">
        <v>13.303333333333331</v>
      </c>
      <c r="D10" s="117">
        <f t="shared" si="0"/>
        <v>12.59333333333333</v>
      </c>
      <c r="E10" s="30">
        <f>(B10-B9)*10.7/(A10-A9)/24*E$3</f>
        <v>0</v>
      </c>
      <c r="F10" s="117">
        <f t="shared" si="1"/>
        <v>212.66444444444451</v>
      </c>
      <c r="G10" s="117">
        <f t="shared" si="3"/>
        <v>63758.097611630328</v>
      </c>
      <c r="H10" s="117">
        <f t="shared" si="2"/>
        <v>15.190317460317464</v>
      </c>
    </row>
    <row r="11" spans="1:19">
      <c r="A11" s="17">
        <v>42309</v>
      </c>
      <c r="B11" s="117"/>
      <c r="C11" s="117">
        <v>7.8780645161289815</v>
      </c>
      <c r="D11" s="117">
        <f t="shared" si="0"/>
        <v>7.1680645161289815</v>
      </c>
      <c r="E11" s="30">
        <f>(B11-B10)*10.7/(A11-A10)/24*E$3</f>
        <v>0</v>
      </c>
      <c r="F11" s="117">
        <f t="shared" si="1"/>
        <v>319.36139784946334</v>
      </c>
      <c r="G11" s="117">
        <f t="shared" si="3"/>
        <v>88431.50155763248</v>
      </c>
      <c r="H11" s="117">
        <f t="shared" si="2"/>
        <v>22.81152841781881</v>
      </c>
    </row>
    <row r="12" spans="1:19">
      <c r="A12" s="17">
        <v>42339</v>
      </c>
      <c r="B12" s="117"/>
      <c r="C12" s="117">
        <v>6.1066666666666913</v>
      </c>
      <c r="D12" s="117">
        <f t="shared" si="0"/>
        <v>5.3966666666666914</v>
      </c>
      <c r="E12" s="30"/>
      <c r="F12" s="117">
        <f t="shared" si="1"/>
        <v>354.1988888888884</v>
      </c>
      <c r="G12" s="117">
        <f t="shared" si="3"/>
        <v>114913.66147455871</v>
      </c>
      <c r="H12" s="117">
        <f t="shared" si="2"/>
        <v>25.2999206349206</v>
      </c>
    </row>
    <row r="13" spans="1:19">
      <c r="A13" s="17">
        <v>42370</v>
      </c>
      <c r="B13" s="117"/>
      <c r="C13" s="117">
        <v>4.1232258064516181</v>
      </c>
      <c r="D13" s="117">
        <f t="shared" si="0"/>
        <v>3.4132258064516181</v>
      </c>
      <c r="E13" s="30">
        <f t="shared" ref="E13:E44" si="4">(B13-B12)*10.7/(A13-A12)/24*E$3</f>
        <v>0</v>
      </c>
      <c r="F13" s="117">
        <f t="shared" si="1"/>
        <v>393.20655913978487</v>
      </c>
      <c r="G13" s="117">
        <f t="shared" si="3"/>
        <v>145292.23676012465</v>
      </c>
      <c r="H13" s="117">
        <f t="shared" si="2"/>
        <v>28.086182795698921</v>
      </c>
    </row>
    <row r="14" spans="1:19">
      <c r="A14" s="17">
        <v>42401</v>
      </c>
      <c r="B14" s="117"/>
      <c r="C14" s="117">
        <v>-1.0348387096774316</v>
      </c>
      <c r="D14" s="117">
        <f t="shared" si="0"/>
        <v>-1.7448387096774316</v>
      </c>
      <c r="E14" s="30">
        <f t="shared" si="4"/>
        <v>0</v>
      </c>
      <c r="F14" s="117">
        <f t="shared" si="1"/>
        <v>494.64849462365612</v>
      </c>
      <c r="G14" s="117">
        <f t="shared" si="3"/>
        <v>183508.07061266882</v>
      </c>
      <c r="H14" s="117">
        <f t="shared" si="2"/>
        <v>35.332035330261149</v>
      </c>
      <c r="P14" s="110" t="s">
        <v>441</v>
      </c>
      <c r="R14" s="117" t="s">
        <v>433</v>
      </c>
    </row>
    <row r="15" spans="1:19">
      <c r="A15" s="17">
        <v>42430</v>
      </c>
      <c r="B15" s="117"/>
      <c r="C15" s="117">
        <v>2.6234482758620508</v>
      </c>
      <c r="D15" s="117">
        <f t="shared" si="0"/>
        <v>1.9134482758620508</v>
      </c>
      <c r="E15" s="30">
        <f t="shared" si="4"/>
        <v>0</v>
      </c>
      <c r="F15" s="117">
        <f t="shared" si="1"/>
        <v>422.70218390804632</v>
      </c>
      <c r="G15" s="117">
        <f t="shared" si="3"/>
        <v>214058.50882658368</v>
      </c>
      <c r="H15" s="117">
        <f t="shared" si="2"/>
        <v>30.193013136289022</v>
      </c>
      <c r="J15" s="117">
        <v>322</v>
      </c>
      <c r="K15" s="117" t="s">
        <v>429</v>
      </c>
      <c r="M15" s="117">
        <f>G36-G24</f>
        <v>276443.22326064366</v>
      </c>
      <c r="N15" s="117" t="s">
        <v>436</v>
      </c>
      <c r="P15" s="110">
        <f>10.7*M15/322</f>
        <v>9186.1567977915729</v>
      </c>
      <c r="R15" s="117">
        <v>21</v>
      </c>
      <c r="S15" s="117" t="s">
        <v>432</v>
      </c>
    </row>
    <row r="16" spans="1:19">
      <c r="A16" s="17">
        <v>42461</v>
      </c>
      <c r="B16" s="117"/>
      <c r="C16" s="117">
        <v>3.6232258064516181</v>
      </c>
      <c r="D16" s="117">
        <f t="shared" si="0"/>
        <v>2.9132258064516181</v>
      </c>
      <c r="E16" s="30">
        <f t="shared" si="4"/>
        <v>0</v>
      </c>
      <c r="F16" s="117">
        <f t="shared" si="1"/>
        <v>403.03989247311819</v>
      </c>
      <c r="G16" s="117">
        <f t="shared" si="3"/>
        <v>245196.79335410186</v>
      </c>
      <c r="H16" s="117">
        <f t="shared" si="2"/>
        <v>28.78856374807987</v>
      </c>
      <c r="J16" s="117">
        <v>14</v>
      </c>
      <c r="K16" s="117" t="s">
        <v>426</v>
      </c>
      <c r="M16" s="117">
        <f>G49-G37</f>
        <v>258327.83385254326</v>
      </c>
      <c r="N16" s="117" t="s">
        <v>430</v>
      </c>
      <c r="P16" s="110">
        <f>10.7*M16/322</f>
        <v>8584.1857832987971</v>
      </c>
      <c r="R16" s="117">
        <v>-3.2</v>
      </c>
      <c r="S16" s="117" t="s">
        <v>431</v>
      </c>
    </row>
    <row r="17" spans="1:19">
      <c r="A17" s="17">
        <v>42491</v>
      </c>
      <c r="B17" s="117"/>
      <c r="C17" s="117">
        <v>8.2466666666666235</v>
      </c>
      <c r="D17" s="117">
        <f t="shared" si="0"/>
        <v>7.5366666666666235</v>
      </c>
      <c r="E17" s="30">
        <f t="shared" si="4"/>
        <v>0</v>
      </c>
      <c r="F17" s="117">
        <f t="shared" si="1"/>
        <v>312.11222222222307</v>
      </c>
      <c r="G17" s="117">
        <f t="shared" si="3"/>
        <v>268532.28660436155</v>
      </c>
      <c r="H17" s="117">
        <f t="shared" si="2"/>
        <v>22.29373015873022</v>
      </c>
      <c r="J17" s="117">
        <f>J15/J16</f>
        <v>23</v>
      </c>
      <c r="K17" s="117" t="s">
        <v>427</v>
      </c>
      <c r="M17" s="117">
        <f>G61-G49</f>
        <v>261170.6168224311</v>
      </c>
      <c r="N17" s="117" t="s">
        <v>428</v>
      </c>
      <c r="P17" s="110">
        <f>10.7*M17/322</f>
        <v>8678.6509316770571</v>
      </c>
      <c r="R17" s="117">
        <f>R15-R16</f>
        <v>24.2</v>
      </c>
      <c r="S17" s="117" t="s">
        <v>62</v>
      </c>
    </row>
    <row r="18" spans="1:19">
      <c r="A18" s="17">
        <v>42522</v>
      </c>
      <c r="B18" s="117"/>
      <c r="C18" s="117">
        <v>13.84580645161294</v>
      </c>
      <c r="D18" s="117">
        <f t="shared" si="0"/>
        <v>13.13580645161294</v>
      </c>
      <c r="E18" s="30">
        <f t="shared" si="4"/>
        <v>0</v>
      </c>
      <c r="F18" s="117">
        <f t="shared" si="1"/>
        <v>201.9958064516122</v>
      </c>
      <c r="G18" s="117">
        <f t="shared" si="3"/>
        <v>284138.19314641756</v>
      </c>
      <c r="H18" s="117">
        <f t="shared" si="2"/>
        <v>14.428271889400872</v>
      </c>
      <c r="J18" s="117">
        <f>F2/J15</f>
        <v>1.8322981366459627</v>
      </c>
      <c r="K18" s="117" t="s">
        <v>438</v>
      </c>
      <c r="N18" s="117" t="s">
        <v>439</v>
      </c>
      <c r="R18" s="117">
        <v>35000</v>
      </c>
      <c r="S18" s="117" t="s">
        <v>2</v>
      </c>
    </row>
    <row r="19" spans="1:19">
      <c r="A19" s="17">
        <v>42552</v>
      </c>
      <c r="B19" s="117"/>
      <c r="C19" s="117">
        <v>17.706666666666692</v>
      </c>
      <c r="D19" s="117">
        <f t="shared" si="0"/>
        <v>16.996666666666691</v>
      </c>
      <c r="E19" s="30">
        <f t="shared" si="4"/>
        <v>0</v>
      </c>
      <c r="F19" s="117">
        <f t="shared" si="1"/>
        <v>126.06555555555508</v>
      </c>
      <c r="G19" s="117">
        <f t="shared" si="3"/>
        <v>293563.65524402913</v>
      </c>
      <c r="H19" s="117">
        <f t="shared" si="2"/>
        <v>9.0046825396825056</v>
      </c>
      <c r="R19" s="117">
        <f>R18/R17*30</f>
        <v>43388.42975206612</v>
      </c>
      <c r="S19" s="117" t="s">
        <v>425</v>
      </c>
    </row>
    <row r="20" spans="1:19">
      <c r="A20" s="17">
        <v>42583</v>
      </c>
      <c r="B20" s="117"/>
      <c r="C20" s="117">
        <v>19.142580645161292</v>
      </c>
      <c r="D20" s="117">
        <f t="shared" si="0"/>
        <v>18.432580645161291</v>
      </c>
      <c r="E20" s="30">
        <f t="shared" si="4"/>
        <v>0</v>
      </c>
      <c r="F20" s="117">
        <f t="shared" si="1"/>
        <v>126</v>
      </c>
      <c r="G20" s="117">
        <f t="shared" si="3"/>
        <v>303298.23468328145</v>
      </c>
      <c r="H20" s="117">
        <f t="shared" si="2"/>
        <v>9</v>
      </c>
      <c r="J20" s="117">
        <f>G61-G49</f>
        <v>261170.6168224311</v>
      </c>
      <c r="K20" s="117" t="s">
        <v>482</v>
      </c>
      <c r="R20" s="117">
        <v>14</v>
      </c>
      <c r="S20" s="117" t="s">
        <v>426</v>
      </c>
    </row>
    <row r="21" spans="1:19">
      <c r="A21" s="17">
        <v>42614</v>
      </c>
      <c r="B21" s="117"/>
      <c r="C21" s="117">
        <v>17.774838709677521</v>
      </c>
      <c r="D21" s="117">
        <f t="shared" si="0"/>
        <v>17.06483870967752</v>
      </c>
      <c r="E21" s="30">
        <f t="shared" si="4"/>
        <v>0</v>
      </c>
      <c r="F21" s="117">
        <f t="shared" si="1"/>
        <v>126</v>
      </c>
      <c r="G21" s="117">
        <f t="shared" si="3"/>
        <v>313032.81412253377</v>
      </c>
      <c r="H21" s="117">
        <f t="shared" si="2"/>
        <v>9</v>
      </c>
      <c r="J21" s="117">
        <v>285000</v>
      </c>
      <c r="K21" s="117" t="s">
        <v>481</v>
      </c>
      <c r="R21" s="117">
        <f>R19*R20</f>
        <v>607438.01652892563</v>
      </c>
      <c r="S21" s="117" t="s">
        <v>425</v>
      </c>
    </row>
    <row r="22" spans="1:19">
      <c r="A22" s="17">
        <v>42644</v>
      </c>
      <c r="B22" s="117"/>
      <c r="C22" s="117">
        <v>16.780000000000079</v>
      </c>
      <c r="D22" s="117">
        <f t="shared" si="0"/>
        <v>16.070000000000078</v>
      </c>
      <c r="E22" s="30">
        <f t="shared" si="4"/>
        <v>0</v>
      </c>
      <c r="F22" s="117">
        <f t="shared" si="1"/>
        <v>144.28999999999846</v>
      </c>
      <c r="G22" s="117">
        <f t="shared" si="3"/>
        <v>323820.85150571121</v>
      </c>
      <c r="H22" s="117">
        <f t="shared" si="2"/>
        <v>10.30642857142846</v>
      </c>
      <c r="J22" s="117">
        <f>J21/J20</f>
        <v>1.0912406742668546</v>
      </c>
      <c r="R22" s="110">
        <f>F2/R21*1000</f>
        <v>0.97129251700680275</v>
      </c>
      <c r="S22" s="110" t="s">
        <v>437</v>
      </c>
    </row>
    <row r="23" spans="1:19">
      <c r="A23" s="17">
        <v>42675</v>
      </c>
      <c r="B23" s="117"/>
      <c r="C23" s="117">
        <v>7.6458064516129758</v>
      </c>
      <c r="D23" s="117">
        <f t="shared" si="0"/>
        <v>6.9358064516129758</v>
      </c>
      <c r="E23" s="30">
        <f t="shared" si="4"/>
        <v>0</v>
      </c>
      <c r="F23" s="117">
        <f t="shared" si="1"/>
        <v>323.92913978494482</v>
      </c>
      <c r="G23" s="117">
        <f t="shared" si="3"/>
        <v>348847.15264797484</v>
      </c>
      <c r="H23" s="117">
        <f t="shared" si="2"/>
        <v>23.137795698924631</v>
      </c>
    </row>
    <row r="24" spans="1:19">
      <c r="A24" s="17">
        <v>42705</v>
      </c>
      <c r="B24" s="117"/>
      <c r="C24" s="117">
        <v>2.5100000000000362</v>
      </c>
      <c r="D24" s="117">
        <f t="shared" si="0"/>
        <v>1.8000000000000362</v>
      </c>
      <c r="E24" s="30">
        <f t="shared" si="4"/>
        <v>0</v>
      </c>
      <c r="F24" s="117">
        <f t="shared" si="1"/>
        <v>424.9333333333326</v>
      </c>
      <c r="G24" s="117">
        <f t="shared" si="3"/>
        <v>380617.86915887822</v>
      </c>
      <c r="H24" s="117">
        <f t="shared" si="2"/>
        <v>30.352380952380901</v>
      </c>
    </row>
    <row r="25" spans="1:19">
      <c r="A25" s="17">
        <v>42736</v>
      </c>
      <c r="B25" s="117"/>
      <c r="C25" s="117">
        <v>-0.24451612903222639</v>
      </c>
      <c r="D25" s="117">
        <f t="shared" si="0"/>
        <v>-0.95451612903222638</v>
      </c>
      <c r="E25" s="30">
        <f t="shared" si="4"/>
        <v>0</v>
      </c>
      <c r="F25" s="117">
        <f t="shared" si="1"/>
        <v>479.10548387096708</v>
      </c>
      <c r="G25" s="117">
        <f t="shared" si="3"/>
        <v>417632.87227414298</v>
      </c>
      <c r="H25" s="117">
        <f t="shared" si="2"/>
        <v>34.221820276497645</v>
      </c>
    </row>
    <row r="26" spans="1:19">
      <c r="A26" s="17">
        <v>42767</v>
      </c>
      <c r="B26" s="117"/>
      <c r="C26" s="117">
        <v>-5.3735483870967133</v>
      </c>
      <c r="D26" s="117">
        <f t="shared" si="0"/>
        <v>-6.0835483870967133</v>
      </c>
      <c r="E26" s="30">
        <f t="shared" si="4"/>
        <v>0</v>
      </c>
      <c r="F26" s="117">
        <f t="shared" si="1"/>
        <v>579.976451612902</v>
      </c>
      <c r="G26" s="117">
        <f t="shared" si="3"/>
        <v>462441.02180685318</v>
      </c>
      <c r="H26" s="117">
        <f t="shared" si="2"/>
        <v>41.426889400921574</v>
      </c>
    </row>
    <row r="27" spans="1:19">
      <c r="A27" s="17">
        <v>42795</v>
      </c>
      <c r="B27" s="117"/>
      <c r="C27" s="117">
        <v>1.5164285714286703</v>
      </c>
      <c r="D27" s="117">
        <f t="shared" si="0"/>
        <v>0.8064285714286703</v>
      </c>
      <c r="E27" s="30">
        <f t="shared" si="4"/>
        <v>0</v>
      </c>
      <c r="F27" s="117">
        <f t="shared" si="1"/>
        <v>444.47357142856947</v>
      </c>
      <c r="G27" s="117">
        <f t="shared" si="3"/>
        <v>493457.24610591849</v>
      </c>
      <c r="H27" s="117">
        <f t="shared" si="2"/>
        <v>31.748112244897818</v>
      </c>
    </row>
    <row r="28" spans="1:19">
      <c r="A28" s="17">
        <v>42826</v>
      </c>
      <c r="B28" s="117"/>
      <c r="C28" s="117">
        <v>6.7683870967743012</v>
      </c>
      <c r="D28" s="117">
        <f t="shared" si="0"/>
        <v>6.0583870967743012</v>
      </c>
      <c r="E28" s="30">
        <f t="shared" si="4"/>
        <v>0</v>
      </c>
      <c r="F28" s="117">
        <f t="shared" si="1"/>
        <v>341.18505376343876</v>
      </c>
      <c r="G28" s="117">
        <f t="shared" si="3"/>
        <v>519816.71443405957</v>
      </c>
      <c r="H28" s="117">
        <f t="shared" si="2"/>
        <v>24.370360983102767</v>
      </c>
    </row>
    <row r="29" spans="1:19">
      <c r="A29" s="17">
        <v>42856</v>
      </c>
      <c r="B29" s="117"/>
      <c r="C29" s="117">
        <v>7.2966666666667459</v>
      </c>
      <c r="D29" s="117">
        <f t="shared" si="0"/>
        <v>6.5866666666667459</v>
      </c>
      <c r="E29" s="30">
        <f t="shared" si="4"/>
        <v>0</v>
      </c>
      <c r="F29" s="117">
        <f t="shared" si="1"/>
        <v>330.79555555555396</v>
      </c>
      <c r="G29" s="117">
        <f t="shared" si="3"/>
        <v>544549.09241952153</v>
      </c>
      <c r="H29" s="117">
        <f t="shared" si="2"/>
        <v>23.628253968253855</v>
      </c>
    </row>
    <row r="30" spans="1:19">
      <c r="A30" s="17">
        <v>42887</v>
      </c>
      <c r="B30" s="117"/>
      <c r="C30" s="117">
        <v>14.310322580645217</v>
      </c>
      <c r="D30" s="117">
        <f t="shared" si="0"/>
        <v>13.600322580645216</v>
      </c>
      <c r="E30" s="30">
        <f t="shared" si="4"/>
        <v>0</v>
      </c>
      <c r="F30" s="117">
        <f t="shared" si="1"/>
        <v>192.86032258064409</v>
      </c>
      <c r="G30" s="117">
        <f t="shared" si="3"/>
        <v>559449.20456905419</v>
      </c>
      <c r="H30" s="117">
        <f t="shared" si="2"/>
        <v>13.775737327188864</v>
      </c>
    </row>
    <row r="31" spans="1:19">
      <c r="A31" s="17">
        <v>42917</v>
      </c>
      <c r="B31" s="117"/>
      <c r="C31" s="117">
        <v>18.493333333333339</v>
      </c>
      <c r="D31" s="117">
        <f t="shared" si="0"/>
        <v>17.783333333333339</v>
      </c>
      <c r="E31" s="30">
        <f t="shared" si="4"/>
        <v>0</v>
      </c>
      <c r="F31" s="117">
        <f t="shared" si="1"/>
        <v>126</v>
      </c>
      <c r="G31" s="117">
        <f t="shared" si="3"/>
        <v>568869.76531671779</v>
      </c>
      <c r="H31" s="117">
        <f t="shared" si="2"/>
        <v>9</v>
      </c>
    </row>
    <row r="32" spans="1:19">
      <c r="A32" s="17">
        <v>42948</v>
      </c>
      <c r="B32" s="117"/>
      <c r="C32" s="117">
        <v>19.303870967742085</v>
      </c>
      <c r="D32" s="117">
        <f t="shared" si="0"/>
        <v>18.593870967742085</v>
      </c>
      <c r="E32" s="30">
        <f t="shared" si="4"/>
        <v>0</v>
      </c>
      <c r="F32" s="117">
        <f t="shared" si="1"/>
        <v>126</v>
      </c>
      <c r="G32" s="117">
        <f t="shared" si="3"/>
        <v>578604.34475597017</v>
      </c>
      <c r="H32" s="117">
        <f t="shared" si="2"/>
        <v>9</v>
      </c>
    </row>
    <row r="33" spans="1:8">
      <c r="A33" s="17">
        <v>42979</v>
      </c>
      <c r="B33" s="117"/>
      <c r="C33" s="117">
        <v>18.558709677419461</v>
      </c>
      <c r="D33" s="117">
        <f t="shared" si="0"/>
        <v>17.84870967741946</v>
      </c>
      <c r="E33" s="30">
        <f t="shared" si="4"/>
        <v>0</v>
      </c>
      <c r="F33" s="117">
        <f t="shared" si="1"/>
        <v>126</v>
      </c>
      <c r="G33" s="117">
        <f t="shared" si="3"/>
        <v>588338.92419522256</v>
      </c>
      <c r="H33" s="117">
        <f t="shared" si="2"/>
        <v>9</v>
      </c>
    </row>
    <row r="34" spans="1:8">
      <c r="A34" s="17">
        <v>43009</v>
      </c>
      <c r="B34" s="117"/>
      <c r="C34" s="117">
        <v>12.226666666666764</v>
      </c>
      <c r="D34" s="117">
        <f t="shared" si="0"/>
        <v>11.516666666666765</v>
      </c>
      <c r="E34" s="30">
        <f t="shared" si="4"/>
        <v>0</v>
      </c>
      <c r="F34" s="117">
        <f t="shared" si="1"/>
        <v>233.83888888888697</v>
      </c>
      <c r="G34" s="117">
        <f t="shared" si="3"/>
        <v>605822.20560747583</v>
      </c>
      <c r="H34" s="117">
        <f t="shared" si="2"/>
        <v>16.702777777777641</v>
      </c>
    </row>
    <row r="35" spans="1:8">
      <c r="A35" s="17">
        <v>43040</v>
      </c>
      <c r="B35" s="117"/>
      <c r="C35" s="117">
        <v>10.029677419354664</v>
      </c>
      <c r="D35" s="117">
        <f t="shared" si="0"/>
        <v>9.3196774193546652</v>
      </c>
      <c r="E35" s="30">
        <f t="shared" si="4"/>
        <v>0</v>
      </c>
      <c r="F35" s="117">
        <f t="shared" si="1"/>
        <v>277.04634408602487</v>
      </c>
      <c r="G35" s="117">
        <f t="shared" si="3"/>
        <v>627226.40913810953</v>
      </c>
      <c r="H35" s="117">
        <f t="shared" si="2"/>
        <v>19.789024577573205</v>
      </c>
    </row>
    <row r="36" spans="1:8">
      <c r="A36" s="17">
        <v>43070</v>
      </c>
      <c r="B36" s="117"/>
      <c r="C36" s="117">
        <v>3.8266666666666422</v>
      </c>
      <c r="D36" s="117">
        <f t="shared" si="0"/>
        <v>3.1166666666666423</v>
      </c>
      <c r="E36" s="30">
        <f t="shared" si="4"/>
        <v>0</v>
      </c>
      <c r="F36" s="117">
        <f t="shared" si="1"/>
        <v>399.03888888888935</v>
      </c>
      <c r="G36" s="117">
        <f t="shared" si="3"/>
        <v>657061.09241952188</v>
      </c>
      <c r="H36" s="117">
        <f t="shared" si="2"/>
        <v>28.502777777777812</v>
      </c>
    </row>
    <row r="37" spans="1:8">
      <c r="A37" s="17">
        <v>43101</v>
      </c>
      <c r="B37" s="117"/>
      <c r="C37" s="117">
        <v>1.5006451612903366</v>
      </c>
      <c r="D37" s="117">
        <f t="shared" ref="D37:D68" si="5">C37+D$3</f>
        <v>0.79064516129033668</v>
      </c>
      <c r="E37" s="30">
        <f t="shared" si="4"/>
        <v>0</v>
      </c>
      <c r="F37" s="117">
        <f t="shared" ref="F37:F70" si="6">F$1+(IF(F$3-$D37&gt;0,F$3-$D37,0)*F$2/30)</f>
        <v>444.7839784946234</v>
      </c>
      <c r="G37" s="117">
        <f t="shared" si="3"/>
        <v>691424.46521287598</v>
      </c>
      <c r="H37" s="117">
        <f t="shared" ref="H37:H70" si="7">F37/14</f>
        <v>31.770284178187385</v>
      </c>
    </row>
    <row r="38" spans="1:8">
      <c r="A38" s="17">
        <v>43132</v>
      </c>
      <c r="B38" s="117"/>
      <c r="C38" s="117">
        <v>2.4683870967742663</v>
      </c>
      <c r="D38" s="117">
        <f t="shared" si="5"/>
        <v>1.7583870967742663</v>
      </c>
      <c r="E38" s="30">
        <f t="shared" si="4"/>
        <v>0</v>
      </c>
      <c r="F38" s="117">
        <f t="shared" si="6"/>
        <v>425.7517204301061</v>
      </c>
      <c r="G38" s="117">
        <f t="shared" ref="G38:G69" si="8">G37+F38*24*(A38-A37)/E$3/10.7</f>
        <v>724317.4330218063</v>
      </c>
      <c r="H38" s="117">
        <f t="shared" si="7"/>
        <v>30.410837173579008</v>
      </c>
    </row>
    <row r="39" spans="1:8">
      <c r="A39" s="17">
        <v>43160</v>
      </c>
      <c r="B39" s="117"/>
      <c r="C39" s="117">
        <v>-3.3299999999999272</v>
      </c>
      <c r="D39" s="117">
        <f t="shared" si="5"/>
        <v>-4.0399999999999272</v>
      </c>
      <c r="E39" s="30">
        <f t="shared" si="4"/>
        <v>0</v>
      </c>
      <c r="F39" s="117">
        <f t="shared" si="6"/>
        <v>539.78666666666527</v>
      </c>
      <c r="G39" s="117">
        <f t="shared" si="8"/>
        <v>761984.78920041467</v>
      </c>
      <c r="H39" s="117">
        <f t="shared" si="7"/>
        <v>38.556190476190373</v>
      </c>
    </row>
    <row r="40" spans="1:8">
      <c r="A40" s="17">
        <v>43191</v>
      </c>
      <c r="B40" s="117"/>
      <c r="C40" s="117">
        <v>1.6038709677420318</v>
      </c>
      <c r="D40" s="117">
        <f t="shared" si="5"/>
        <v>0.89387096774203179</v>
      </c>
      <c r="E40" s="30">
        <f t="shared" si="4"/>
        <v>0</v>
      </c>
      <c r="F40" s="117">
        <f t="shared" si="6"/>
        <v>442.75387096774006</v>
      </c>
      <c r="G40" s="117">
        <f t="shared" si="8"/>
        <v>796191.31879543012</v>
      </c>
      <c r="H40" s="117">
        <f t="shared" si="7"/>
        <v>31.625276497695719</v>
      </c>
    </row>
    <row r="41" spans="1:8">
      <c r="A41" s="17">
        <v>43221</v>
      </c>
      <c r="B41" s="117"/>
      <c r="C41" s="117">
        <v>13.213333333333383</v>
      </c>
      <c r="D41" s="117">
        <f t="shared" si="5"/>
        <v>12.503333333333384</v>
      </c>
      <c r="E41" s="30">
        <f t="shared" si="4"/>
        <v>0</v>
      </c>
      <c r="F41" s="117">
        <f t="shared" si="6"/>
        <v>214.43444444444344</v>
      </c>
      <c r="G41" s="117">
        <f t="shared" si="8"/>
        <v>812223.80062305206</v>
      </c>
      <c r="H41" s="117">
        <f t="shared" si="7"/>
        <v>15.316746031745961</v>
      </c>
    </row>
    <row r="42" spans="1:8">
      <c r="A42" s="17">
        <v>43252</v>
      </c>
      <c r="B42" s="117"/>
      <c r="C42" s="117">
        <v>16.674838709677481</v>
      </c>
      <c r="D42" s="117">
        <f t="shared" si="5"/>
        <v>15.96483870967748</v>
      </c>
      <c r="E42" s="30">
        <f t="shared" si="4"/>
        <v>0</v>
      </c>
      <c r="F42" s="117">
        <f t="shared" si="6"/>
        <v>146.35817204300957</v>
      </c>
      <c r="G42" s="117">
        <f t="shared" si="8"/>
        <v>823531.22326064284</v>
      </c>
      <c r="H42" s="117">
        <f t="shared" si="7"/>
        <v>10.454155145929255</v>
      </c>
    </row>
    <row r="43" spans="1:8">
      <c r="A43" s="17">
        <v>43282</v>
      </c>
      <c r="B43" s="117"/>
      <c r="C43" s="117">
        <v>17.980000000000111</v>
      </c>
      <c r="D43" s="117">
        <f t="shared" si="5"/>
        <v>17.27000000000011</v>
      </c>
      <c r="E43" s="30">
        <f t="shared" si="4"/>
        <v>0</v>
      </c>
      <c r="F43" s="117">
        <f t="shared" si="6"/>
        <v>126</v>
      </c>
      <c r="G43" s="117">
        <f t="shared" si="8"/>
        <v>832951.78400830645</v>
      </c>
      <c r="H43" s="117">
        <f t="shared" si="7"/>
        <v>9</v>
      </c>
    </row>
    <row r="44" spans="1:8">
      <c r="A44" s="17">
        <v>43313</v>
      </c>
      <c r="B44" s="117"/>
      <c r="C44" s="117">
        <v>21.181290322580789</v>
      </c>
      <c r="D44" s="117">
        <f t="shared" si="5"/>
        <v>20.471290322580789</v>
      </c>
      <c r="E44" s="30">
        <f t="shared" si="4"/>
        <v>0</v>
      </c>
      <c r="F44" s="117">
        <f t="shared" si="6"/>
        <v>126</v>
      </c>
      <c r="G44" s="117">
        <f t="shared" si="8"/>
        <v>842686.36344755883</v>
      </c>
      <c r="H44" s="117">
        <f t="shared" si="7"/>
        <v>9</v>
      </c>
    </row>
    <row r="45" spans="1:8">
      <c r="A45" s="17">
        <v>43344</v>
      </c>
      <c r="B45" s="117"/>
      <c r="C45" s="117">
        <v>20.97161290322595</v>
      </c>
      <c r="D45" s="117">
        <f t="shared" si="5"/>
        <v>20.261612903225949</v>
      </c>
      <c r="E45" s="30">
        <f t="shared" ref="E45:E70" si="9">(B45-B44)*10.7/(A45-A44)/24*E$3</f>
        <v>0</v>
      </c>
      <c r="F45" s="117">
        <f t="shared" si="6"/>
        <v>126</v>
      </c>
      <c r="G45" s="117">
        <f t="shared" si="8"/>
        <v>852420.94288681122</v>
      </c>
      <c r="H45" s="117">
        <f t="shared" si="7"/>
        <v>9</v>
      </c>
    </row>
    <row r="46" spans="1:8">
      <c r="A46" s="17">
        <v>43374</v>
      </c>
      <c r="B46" s="117"/>
      <c r="C46" s="117">
        <v>15.263333333333321</v>
      </c>
      <c r="D46" s="117">
        <f t="shared" si="5"/>
        <v>14.55333333333332</v>
      </c>
      <c r="E46" s="30">
        <f t="shared" si="9"/>
        <v>0</v>
      </c>
      <c r="F46" s="117">
        <f t="shared" si="6"/>
        <v>174.11777777777803</v>
      </c>
      <c r="G46" s="117">
        <f t="shared" si="8"/>
        <v>865439.09449636471</v>
      </c>
      <c r="H46" s="117">
        <f t="shared" si="7"/>
        <v>12.436984126984145</v>
      </c>
    </row>
    <row r="47" spans="1:8">
      <c r="A47" s="17">
        <v>43405</v>
      </c>
      <c r="B47" s="117"/>
      <c r="C47" s="117">
        <v>10.23935483870968</v>
      </c>
      <c r="D47" s="117">
        <f t="shared" si="5"/>
        <v>9.5293548387096791</v>
      </c>
      <c r="E47" s="30">
        <f t="shared" si="9"/>
        <v>0</v>
      </c>
      <c r="F47" s="117">
        <f t="shared" si="6"/>
        <v>272.92268817204297</v>
      </c>
      <c r="G47" s="117">
        <f t="shared" si="8"/>
        <v>886524.71028037299</v>
      </c>
      <c r="H47" s="117">
        <f t="shared" si="7"/>
        <v>19.494477726574498</v>
      </c>
    </row>
    <row r="48" spans="1:8">
      <c r="A48" s="17">
        <v>43435</v>
      </c>
      <c r="B48" s="117"/>
      <c r="C48" s="117">
        <v>3.5066666666668729</v>
      </c>
      <c r="D48" s="117">
        <f t="shared" si="5"/>
        <v>2.7966666666668729</v>
      </c>
      <c r="E48" s="30">
        <f t="shared" si="9"/>
        <v>0</v>
      </c>
      <c r="F48" s="117">
        <f t="shared" si="6"/>
        <v>405.33222222221815</v>
      </c>
      <c r="G48" s="117">
        <f t="shared" si="8"/>
        <v>916829.92315680056</v>
      </c>
      <c r="H48" s="117">
        <f t="shared" si="7"/>
        <v>28.952301587301296</v>
      </c>
    </row>
    <row r="49" spans="1:11">
      <c r="A49" s="17">
        <v>43466</v>
      </c>
      <c r="B49" s="117"/>
      <c r="C49" s="117">
        <v>2.4490322580646944</v>
      </c>
      <c r="D49" s="117">
        <f t="shared" si="5"/>
        <v>1.7390322580646944</v>
      </c>
      <c r="E49" s="30">
        <f t="shared" si="9"/>
        <v>0</v>
      </c>
      <c r="F49" s="117">
        <f t="shared" si="6"/>
        <v>426.13236559139438</v>
      </c>
      <c r="G49" s="117">
        <f t="shared" si="8"/>
        <v>949752.29906541924</v>
      </c>
      <c r="H49" s="117">
        <f t="shared" si="7"/>
        <v>30.438026113671025</v>
      </c>
    </row>
    <row r="50" spans="1:11">
      <c r="A50" s="17">
        <v>43497</v>
      </c>
      <c r="B50" s="117"/>
      <c r="C50" s="117">
        <v>-0.79290322580639061</v>
      </c>
      <c r="D50" s="117">
        <f t="shared" si="5"/>
        <v>-1.5029032258063906</v>
      </c>
      <c r="E50" s="30">
        <f t="shared" si="9"/>
        <v>0</v>
      </c>
      <c r="F50" s="117">
        <f t="shared" si="6"/>
        <v>489.89043010752567</v>
      </c>
      <c r="G50" s="117">
        <f t="shared" si="8"/>
        <v>987600.53167185734</v>
      </c>
      <c r="H50" s="117">
        <f t="shared" si="7"/>
        <v>34.992173579108979</v>
      </c>
    </row>
    <row r="51" spans="1:11">
      <c r="A51" s="17">
        <v>43525</v>
      </c>
      <c r="B51" s="117"/>
      <c r="C51" s="117">
        <v>2.2878571428571894</v>
      </c>
      <c r="D51" s="117">
        <f t="shared" si="5"/>
        <v>1.5778571428571895</v>
      </c>
      <c r="E51" s="30">
        <f t="shared" si="9"/>
        <v>0</v>
      </c>
      <c r="F51" s="117">
        <f t="shared" si="6"/>
        <v>429.30214285714197</v>
      </c>
      <c r="G51" s="117">
        <f t="shared" si="8"/>
        <v>1017558.0643821376</v>
      </c>
      <c r="H51" s="117">
        <f t="shared" si="7"/>
        <v>30.664438775510142</v>
      </c>
    </row>
    <row r="52" spans="1:11">
      <c r="A52" s="17">
        <v>43556</v>
      </c>
      <c r="B52" s="117"/>
      <c r="C52" s="117">
        <v>6.5812903225806592</v>
      </c>
      <c r="D52" s="117">
        <f t="shared" si="5"/>
        <v>5.8712903225806592</v>
      </c>
      <c r="E52" s="30">
        <f t="shared" si="9"/>
        <v>0</v>
      </c>
      <c r="F52" s="117">
        <f t="shared" si="6"/>
        <v>344.8646236559137</v>
      </c>
      <c r="G52" s="117">
        <f t="shared" si="8"/>
        <v>1044201.8110072674</v>
      </c>
      <c r="H52" s="117">
        <f t="shared" si="7"/>
        <v>24.633187403993837</v>
      </c>
    </row>
    <row r="53" spans="1:11">
      <c r="A53" s="17">
        <v>43586</v>
      </c>
      <c r="B53" s="117"/>
      <c r="C53" s="117">
        <v>10.080000000000171</v>
      </c>
      <c r="D53" s="117">
        <f t="shared" si="5"/>
        <v>9.3700000000001715</v>
      </c>
      <c r="E53" s="30">
        <f t="shared" si="9"/>
        <v>0</v>
      </c>
      <c r="F53" s="117">
        <f t="shared" si="6"/>
        <v>276.05666666666332</v>
      </c>
      <c r="G53" s="117">
        <f t="shared" si="8"/>
        <v>1064841.5617860835</v>
      </c>
      <c r="H53" s="117">
        <f t="shared" si="7"/>
        <v>19.718333333333096</v>
      </c>
    </row>
    <row r="54" spans="1:11">
      <c r="A54" s="17">
        <v>43617</v>
      </c>
      <c r="B54" s="117"/>
      <c r="C54" s="117">
        <v>11.513548387096835</v>
      </c>
      <c r="D54" s="117">
        <f t="shared" si="5"/>
        <v>10.803548387096836</v>
      </c>
      <c r="E54" s="30">
        <f t="shared" si="9"/>
        <v>0</v>
      </c>
      <c r="F54" s="117">
        <f t="shared" si="6"/>
        <v>247.86354838709556</v>
      </c>
      <c r="G54" s="117">
        <f t="shared" si="8"/>
        <v>1083991.1443406006</v>
      </c>
      <c r="H54" s="117">
        <f t="shared" si="7"/>
        <v>17.704539170506827</v>
      </c>
    </row>
    <row r="55" spans="1:11">
      <c r="A55" s="17">
        <v>43647</v>
      </c>
      <c r="B55" s="117"/>
      <c r="C55" s="117">
        <v>21.273333333333358</v>
      </c>
      <c r="D55" s="117">
        <f t="shared" si="5"/>
        <v>20.563333333333357</v>
      </c>
      <c r="E55" s="30">
        <f t="shared" si="9"/>
        <v>0</v>
      </c>
      <c r="F55" s="117">
        <f t="shared" si="6"/>
        <v>126</v>
      </c>
      <c r="G55" s="117">
        <f t="shared" si="8"/>
        <v>1093411.7050882641</v>
      </c>
      <c r="H55" s="117">
        <f t="shared" si="7"/>
        <v>9</v>
      </c>
    </row>
    <row r="56" spans="1:11">
      <c r="A56" s="17">
        <v>43678</v>
      </c>
      <c r="B56" s="117"/>
      <c r="C56" s="117">
        <v>19.44903225806452</v>
      </c>
      <c r="D56" s="117">
        <f t="shared" si="5"/>
        <v>18.739032258064519</v>
      </c>
      <c r="E56" s="30">
        <f t="shared" si="9"/>
        <v>0</v>
      </c>
      <c r="F56" s="117">
        <f t="shared" si="6"/>
        <v>126</v>
      </c>
      <c r="G56" s="117">
        <f t="shared" si="8"/>
        <v>1103146.2845275165</v>
      </c>
      <c r="H56" s="117">
        <f t="shared" si="7"/>
        <v>9</v>
      </c>
    </row>
    <row r="57" spans="1:11">
      <c r="A57" s="17">
        <v>43709</v>
      </c>
      <c r="B57" s="117"/>
      <c r="C57" s="117">
        <v>19.552258064516213</v>
      </c>
      <c r="D57" s="117">
        <f t="shared" si="5"/>
        <v>18.842258064516212</v>
      </c>
      <c r="E57" s="30">
        <f t="shared" si="9"/>
        <v>0</v>
      </c>
      <c r="F57" s="117">
        <f t="shared" si="6"/>
        <v>126</v>
      </c>
      <c r="G57" s="117">
        <f t="shared" si="8"/>
        <v>1112880.8639667688</v>
      </c>
      <c r="H57" s="117">
        <f t="shared" si="7"/>
        <v>9</v>
      </c>
    </row>
    <row r="58" spans="1:11">
      <c r="A58" s="17">
        <v>43739</v>
      </c>
      <c r="B58" s="117"/>
      <c r="C58" s="117">
        <v>13.896666666666594</v>
      </c>
      <c r="D58" s="117">
        <f t="shared" si="5"/>
        <v>13.186666666666593</v>
      </c>
      <c r="E58" s="30">
        <f t="shared" si="9"/>
        <v>0</v>
      </c>
      <c r="F58" s="117">
        <f t="shared" si="6"/>
        <v>200.99555555555702</v>
      </c>
      <c r="G58" s="117">
        <f t="shared" si="8"/>
        <v>1127908.5690550348</v>
      </c>
      <c r="H58" s="117">
        <f t="shared" si="7"/>
        <v>14.356825396825501</v>
      </c>
    </row>
    <row r="59" spans="1:11">
      <c r="A59" s="17">
        <v>43770</v>
      </c>
      <c r="B59" s="117"/>
      <c r="C59" s="117">
        <v>9.4296774193544781</v>
      </c>
      <c r="D59" s="117">
        <f t="shared" si="5"/>
        <v>8.719677419354479</v>
      </c>
      <c r="E59" s="30">
        <f t="shared" si="9"/>
        <v>0</v>
      </c>
      <c r="F59" s="117">
        <f t="shared" si="6"/>
        <v>288.84634408602858</v>
      </c>
      <c r="G59" s="117">
        <f t="shared" si="8"/>
        <v>1150224.4236760114</v>
      </c>
      <c r="H59" s="117">
        <f t="shared" si="7"/>
        <v>20.631881720430613</v>
      </c>
    </row>
    <row r="60" spans="1:11">
      <c r="A60" s="17">
        <v>43800</v>
      </c>
      <c r="B60" s="117"/>
      <c r="C60" s="117">
        <v>5.3999999999996362</v>
      </c>
      <c r="D60" s="117">
        <f t="shared" si="5"/>
        <v>4.6899999999996362</v>
      </c>
      <c r="E60" s="30">
        <f t="shared" si="9"/>
        <v>0</v>
      </c>
      <c r="F60" s="117">
        <f t="shared" si="6"/>
        <v>368.09666666667385</v>
      </c>
      <c r="G60" s="117">
        <f t="shared" si="8"/>
        <v>1177745.669781931</v>
      </c>
      <c r="H60" s="117">
        <f t="shared" si="7"/>
        <v>26.29261904761956</v>
      </c>
    </row>
    <row r="61" spans="1:11">
      <c r="A61" s="17">
        <v>43831</v>
      </c>
      <c r="B61" s="117">
        <v>0</v>
      </c>
      <c r="C61" s="117">
        <v>2.2812903225803307</v>
      </c>
      <c r="D61" s="117">
        <f t="shared" si="5"/>
        <v>1.5712903225803307</v>
      </c>
      <c r="E61" s="30">
        <f t="shared" si="9"/>
        <v>0</v>
      </c>
      <c r="F61" s="117">
        <f t="shared" si="6"/>
        <v>429.43129032258679</v>
      </c>
      <c r="G61" s="117">
        <f t="shared" si="8"/>
        <v>1210922.9158878503</v>
      </c>
      <c r="H61" s="117">
        <f t="shared" si="7"/>
        <v>30.673663594470487</v>
      </c>
      <c r="J61" s="117">
        <v>0</v>
      </c>
      <c r="K61" s="117">
        <v>0</v>
      </c>
    </row>
    <row r="62" spans="1:11">
      <c r="A62" s="17">
        <v>43862</v>
      </c>
      <c r="B62" s="117">
        <f>1150*31</f>
        <v>35650</v>
      </c>
      <c r="C62" s="117">
        <v>1.0683870967740434</v>
      </c>
      <c r="D62" s="117">
        <f t="shared" si="5"/>
        <v>0.35838709677404346</v>
      </c>
      <c r="E62" s="30">
        <f t="shared" si="9"/>
        <v>461.43750000000006</v>
      </c>
      <c r="F62" s="117">
        <f t="shared" si="6"/>
        <v>453.28505376344378</v>
      </c>
      <c r="G62" s="117">
        <f t="shared" si="8"/>
        <v>1245943.0695742473</v>
      </c>
      <c r="H62" s="117">
        <f t="shared" si="7"/>
        <v>32.377503840245986</v>
      </c>
      <c r="J62" s="117">
        <f>G62-G61</f>
        <v>35020.15368639701</v>
      </c>
      <c r="K62" s="117">
        <f>B62</f>
        <v>35650</v>
      </c>
    </row>
    <row r="63" spans="1:11">
      <c r="A63" s="17">
        <v>43891</v>
      </c>
      <c r="B63" s="117">
        <f>B62+950*29</f>
        <v>63200</v>
      </c>
      <c r="C63" s="117">
        <v>4.4165517241374896</v>
      </c>
      <c r="D63" s="117">
        <f t="shared" si="5"/>
        <v>3.7065517241374897</v>
      </c>
      <c r="E63" s="30">
        <f t="shared" si="9"/>
        <v>381.1875</v>
      </c>
      <c r="F63" s="117">
        <f t="shared" si="6"/>
        <v>387.4378160919627</v>
      </c>
      <c r="G63" s="117">
        <f t="shared" si="8"/>
        <v>1273944.8058151617</v>
      </c>
      <c r="H63" s="117">
        <f t="shared" si="7"/>
        <v>27.674129720854477</v>
      </c>
      <c r="J63" s="117">
        <f>G63-G61</f>
        <v>63021.889927311335</v>
      </c>
      <c r="K63" s="117">
        <f>B63</f>
        <v>63200</v>
      </c>
    </row>
    <row r="64" spans="1:11">
      <c r="A64" s="17">
        <v>43922</v>
      </c>
      <c r="B64" s="117">
        <f t="shared" ref="B64:B70" si="10">B63</f>
        <v>63200</v>
      </c>
      <c r="C64" s="117">
        <v>4.2070967741931398</v>
      </c>
      <c r="D64" s="117">
        <f t="shared" si="5"/>
        <v>3.4970967741931398</v>
      </c>
      <c r="E64" s="30">
        <f t="shared" si="9"/>
        <v>0</v>
      </c>
      <c r="F64" s="117">
        <f t="shared" si="6"/>
        <v>391.55709677420163</v>
      </c>
      <c r="G64" s="117">
        <f t="shared" si="8"/>
        <v>1304195.9460020782</v>
      </c>
      <c r="H64" s="117">
        <f t="shared" si="7"/>
        <v>27.968364055300118</v>
      </c>
    </row>
    <row r="65" spans="1:8">
      <c r="A65" s="17">
        <v>43952</v>
      </c>
      <c r="B65" s="117">
        <f t="shared" si="10"/>
        <v>63200</v>
      </c>
      <c r="C65" s="117">
        <v>10.179999999999442</v>
      </c>
      <c r="D65" s="117">
        <f t="shared" si="5"/>
        <v>9.4699999999994411</v>
      </c>
      <c r="E65" s="30">
        <f t="shared" si="9"/>
        <v>0</v>
      </c>
      <c r="F65" s="117">
        <f t="shared" si="6"/>
        <v>274.090000000011</v>
      </c>
      <c r="G65" s="117">
        <f t="shared" si="8"/>
        <v>1324688.6562824529</v>
      </c>
      <c r="H65" s="117">
        <f t="shared" si="7"/>
        <v>19.57785714285793</v>
      </c>
    </row>
    <row r="66" spans="1:8">
      <c r="A66" s="17">
        <v>43983</v>
      </c>
      <c r="B66" s="117">
        <f t="shared" si="10"/>
        <v>63200</v>
      </c>
      <c r="C66" s="117">
        <v>11.610322580644871</v>
      </c>
      <c r="D66" s="117">
        <f t="shared" si="5"/>
        <v>10.900322580644872</v>
      </c>
      <c r="E66" s="30">
        <f t="shared" si="9"/>
        <v>0</v>
      </c>
      <c r="F66" s="117">
        <f t="shared" si="6"/>
        <v>245.96032258065085</v>
      </c>
      <c r="G66" s="117">
        <f t="shared" si="8"/>
        <v>1343691.1983385282</v>
      </c>
      <c r="H66" s="117">
        <f t="shared" si="7"/>
        <v>17.568594470046488</v>
      </c>
    </row>
    <row r="67" spans="1:8">
      <c r="A67" s="17">
        <v>44013</v>
      </c>
      <c r="B67" s="117">
        <f t="shared" si="10"/>
        <v>63200</v>
      </c>
      <c r="C67" s="117">
        <v>17.039999999999782</v>
      </c>
      <c r="D67" s="117">
        <f t="shared" si="5"/>
        <v>16.329999999999782</v>
      </c>
      <c r="E67" s="30">
        <f t="shared" si="9"/>
        <v>0</v>
      </c>
      <c r="F67" s="117">
        <f t="shared" si="6"/>
        <v>139.17666666667097</v>
      </c>
      <c r="G67" s="117">
        <f t="shared" si="8"/>
        <v>1354096.9304257559</v>
      </c>
      <c r="H67" s="117">
        <f t="shared" si="7"/>
        <v>9.9411904761907834</v>
      </c>
    </row>
    <row r="68" spans="1:8">
      <c r="A68" s="17">
        <v>44044</v>
      </c>
      <c r="B68" s="117">
        <f t="shared" si="10"/>
        <v>63200</v>
      </c>
      <c r="C68" s="117">
        <v>18.645806451612565</v>
      </c>
      <c r="D68" s="117">
        <f t="shared" si="5"/>
        <v>17.935806451612564</v>
      </c>
      <c r="E68" s="30">
        <f t="shared" si="9"/>
        <v>0</v>
      </c>
      <c r="F68" s="117">
        <f t="shared" si="6"/>
        <v>126</v>
      </c>
      <c r="G68" s="117">
        <f t="shared" si="8"/>
        <v>1363831.5098650083</v>
      </c>
      <c r="H68" s="117">
        <f t="shared" si="7"/>
        <v>9</v>
      </c>
    </row>
    <row r="69" spans="1:8">
      <c r="A69" s="17">
        <v>44075</v>
      </c>
      <c r="B69" s="117">
        <f t="shared" si="10"/>
        <v>63200</v>
      </c>
      <c r="C69" s="117">
        <v>19.384516129031969</v>
      </c>
      <c r="D69" s="117">
        <f t="shared" ref="D69:D70" si="11">C69+D$3</f>
        <v>18.674516129031968</v>
      </c>
      <c r="E69" s="30">
        <f t="shared" si="9"/>
        <v>0</v>
      </c>
      <c r="F69" s="117">
        <f t="shared" si="6"/>
        <v>126</v>
      </c>
      <c r="G69" s="117">
        <f t="shared" si="8"/>
        <v>1373566.0893042607</v>
      </c>
      <c r="H69" s="117">
        <f t="shared" si="7"/>
        <v>9</v>
      </c>
    </row>
    <row r="70" spans="1:8">
      <c r="A70" s="17">
        <v>44105</v>
      </c>
      <c r="B70" s="117">
        <f t="shared" si="10"/>
        <v>63200</v>
      </c>
      <c r="C70" s="117">
        <v>19.384516129031969</v>
      </c>
      <c r="D70" s="117">
        <f t="shared" si="11"/>
        <v>18.674516129031968</v>
      </c>
      <c r="E70" s="30">
        <f t="shared" si="9"/>
        <v>0</v>
      </c>
      <c r="F70" s="117">
        <f t="shared" si="6"/>
        <v>126</v>
      </c>
      <c r="G70" s="117">
        <f t="shared" ref="G70" si="12">G69+F70*24*(A70-A69)/E$3/10.7</f>
        <v>1382986.6500519242</v>
      </c>
      <c r="H70" s="117">
        <f t="shared" si="7"/>
        <v>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54"/>
  <sheetViews>
    <sheetView workbookViewId="0">
      <pane ySplit="5" topLeftCell="A6" activePane="bottomLeft" state="frozen"/>
      <selection pane="bottomLeft"/>
    </sheetView>
  </sheetViews>
  <sheetFormatPr defaultColWidth="5.85546875" defaultRowHeight="15"/>
  <cols>
    <col min="1" max="1" width="11.42578125" style="40" customWidth="1"/>
    <col min="2" max="14" width="5.85546875" style="40"/>
    <col min="15" max="15" width="6" style="40" bestFit="1" customWidth="1"/>
    <col min="16" max="17" width="5.85546875" style="40"/>
    <col min="18" max="20" width="6" style="40" bestFit="1" customWidth="1"/>
    <col min="21" max="21" width="5.85546875" style="40"/>
    <col min="22" max="23" width="6" style="40" bestFit="1" customWidth="1"/>
    <col min="24" max="16384" width="5.85546875" style="40"/>
  </cols>
  <sheetData>
    <row r="1" spans="1:19">
      <c r="A1" s="141" t="s">
        <v>1525</v>
      </c>
      <c r="D1" s="19" t="s">
        <v>179</v>
      </c>
      <c r="G1" s="117"/>
      <c r="S1" s="143" t="s">
        <v>1047</v>
      </c>
    </row>
    <row r="2" spans="1:19">
      <c r="B2" s="37" t="s">
        <v>227</v>
      </c>
      <c r="G2" s="117"/>
    </row>
    <row r="3" spans="1:19">
      <c r="A3" s="146" t="s">
        <v>1466</v>
      </c>
      <c r="G3" s="117"/>
      <c r="I3" s="2">
        <v>1.9</v>
      </c>
      <c r="J3" s="40" t="s">
        <v>129</v>
      </c>
      <c r="M3" s="37" t="s">
        <v>226</v>
      </c>
    </row>
    <row r="4" spans="1:19">
      <c r="G4" s="117"/>
      <c r="I4" s="2">
        <v>15</v>
      </c>
      <c r="J4" s="40" t="s">
        <v>6</v>
      </c>
      <c r="M4" s="110" t="s">
        <v>357</v>
      </c>
    </row>
    <row r="5" spans="1:19" s="120" customFormat="1" ht="75">
      <c r="A5" s="120">
        <v>42095.5</v>
      </c>
      <c r="B5" s="120" t="s">
        <v>178</v>
      </c>
      <c r="D5" s="120" t="s">
        <v>371</v>
      </c>
      <c r="E5" s="120" t="s">
        <v>372</v>
      </c>
      <c r="F5" s="120" t="s">
        <v>373</v>
      </c>
      <c r="G5" s="120" t="s">
        <v>376</v>
      </c>
      <c r="H5" s="120" t="s">
        <v>33</v>
      </c>
      <c r="I5" s="120" t="s">
        <v>177</v>
      </c>
      <c r="J5" s="120" t="s">
        <v>282</v>
      </c>
      <c r="K5" s="120" t="s">
        <v>374</v>
      </c>
      <c r="L5" s="120" t="s">
        <v>375</v>
      </c>
    </row>
    <row r="6" spans="1:19">
      <c r="A6" s="41">
        <v>42125.5</v>
      </c>
      <c r="B6" s="30">
        <v>9.2499999999999982</v>
      </c>
      <c r="C6" s="40" t="s">
        <v>130</v>
      </c>
      <c r="D6" s="40">
        <v>215</v>
      </c>
      <c r="E6" s="40">
        <v>76</v>
      </c>
      <c r="F6" s="40">
        <f t="shared" ref="F6:F51" si="0">SUM(D6:E6)</f>
        <v>291</v>
      </c>
      <c r="H6" s="40">
        <f t="shared" ref="H6:H51" si="1">F6/24/(A6-A5)</f>
        <v>0.40416666666666667</v>
      </c>
      <c r="I6" s="40">
        <f t="shared" ref="I6:I51" si="2">(I$4-B6)*I$3/30</f>
        <v>0.36416666666666675</v>
      </c>
    </row>
    <row r="7" spans="1:19">
      <c r="A7" s="41">
        <v>42156.5</v>
      </c>
      <c r="B7" s="30">
        <v>13.748387096774204</v>
      </c>
      <c r="D7" s="40">
        <v>189</v>
      </c>
      <c r="F7" s="40">
        <f t="shared" si="0"/>
        <v>189</v>
      </c>
      <c r="H7" s="40">
        <f t="shared" si="1"/>
        <v>0.25403225806451613</v>
      </c>
      <c r="I7" s="40">
        <f t="shared" si="2"/>
        <v>7.9268817204300415E-2</v>
      </c>
      <c r="J7" s="40">
        <f t="shared" ref="J7:J50" si="3">G7/(A7-A6)/24</f>
        <v>0</v>
      </c>
      <c r="K7" s="40">
        <f>K6+IF(G7&lt;F7,J7*24*(A7-A6),H7*24*(A7-A6))</f>
        <v>0</v>
      </c>
      <c r="L7" s="40">
        <f>L6+J7*24*(A7-A6)</f>
        <v>0</v>
      </c>
    </row>
    <row r="8" spans="1:19">
      <c r="A8" s="41">
        <v>42186.5</v>
      </c>
      <c r="B8" s="30">
        <v>17.11</v>
      </c>
      <c r="D8" s="40">
        <v>156</v>
      </c>
      <c r="F8" s="40">
        <f t="shared" si="0"/>
        <v>156</v>
      </c>
      <c r="H8" s="40">
        <f t="shared" si="1"/>
        <v>0.21666666666666667</v>
      </c>
      <c r="I8" s="40">
        <f t="shared" si="2"/>
        <v>-0.1336333333333333</v>
      </c>
      <c r="J8" s="40">
        <f t="shared" si="3"/>
        <v>0</v>
      </c>
      <c r="K8" s="117">
        <f t="shared" ref="K8:K51" si="4">K7+IF(G8&lt;F8,J8*24*(A8-A7),H8*24*(A8-A7))</f>
        <v>0</v>
      </c>
      <c r="L8" s="117">
        <f t="shared" ref="L8:L51" si="5">L7+J8*24*(A8-A7)</f>
        <v>0</v>
      </c>
    </row>
    <row r="9" spans="1:19">
      <c r="A9" s="41">
        <v>42217.5</v>
      </c>
      <c r="B9" s="30">
        <v>21.29032258064516</v>
      </c>
      <c r="D9" s="40">
        <v>150</v>
      </c>
      <c r="F9" s="40">
        <f t="shared" si="0"/>
        <v>150</v>
      </c>
      <c r="H9" s="40">
        <f t="shared" si="1"/>
        <v>0.20161290322580644</v>
      </c>
      <c r="I9" s="40">
        <f t="shared" si="2"/>
        <v>-0.39838709677419348</v>
      </c>
      <c r="J9" s="40">
        <f t="shared" si="3"/>
        <v>0</v>
      </c>
      <c r="K9" s="117">
        <f t="shared" si="4"/>
        <v>0</v>
      </c>
      <c r="L9" s="117">
        <f t="shared" si="5"/>
        <v>0</v>
      </c>
    </row>
    <row r="10" spans="1:19">
      <c r="A10" s="41">
        <v>42248.5</v>
      </c>
      <c r="B10" s="30">
        <v>22.480645161290347</v>
      </c>
      <c r="D10" s="40">
        <v>195</v>
      </c>
      <c r="F10" s="40">
        <f t="shared" si="0"/>
        <v>195</v>
      </c>
      <c r="H10" s="40">
        <f t="shared" si="1"/>
        <v>0.26209677419354838</v>
      </c>
      <c r="I10" s="40">
        <f t="shared" si="2"/>
        <v>-0.47377419354838862</v>
      </c>
      <c r="J10" s="40">
        <f t="shared" si="3"/>
        <v>0</v>
      </c>
      <c r="K10" s="117">
        <f t="shared" si="4"/>
        <v>0</v>
      </c>
      <c r="L10" s="117">
        <f t="shared" si="5"/>
        <v>0</v>
      </c>
    </row>
    <row r="11" spans="1:19">
      <c r="A11" s="41">
        <v>42278.5</v>
      </c>
      <c r="B11" s="30">
        <v>14.083333333333348</v>
      </c>
      <c r="D11" s="40">
        <v>170</v>
      </c>
      <c r="F11" s="40">
        <f t="shared" si="0"/>
        <v>170</v>
      </c>
      <c r="H11" s="40">
        <f t="shared" si="1"/>
        <v>0.2361111111111111</v>
      </c>
      <c r="I11" s="40">
        <f t="shared" si="2"/>
        <v>5.8055555555554618E-2</v>
      </c>
      <c r="J11" s="40">
        <f t="shared" si="3"/>
        <v>0</v>
      </c>
      <c r="K11" s="117">
        <f t="shared" si="4"/>
        <v>0</v>
      </c>
      <c r="L11" s="117">
        <f t="shared" si="5"/>
        <v>0</v>
      </c>
    </row>
    <row r="12" spans="1:19">
      <c r="A12" s="41">
        <v>42309.5</v>
      </c>
      <c r="B12" s="30">
        <v>8.6580645161290359</v>
      </c>
      <c r="D12" s="40">
        <v>231</v>
      </c>
      <c r="E12" s="40">
        <v>41</v>
      </c>
      <c r="F12" s="40">
        <f t="shared" si="0"/>
        <v>272</v>
      </c>
      <c r="H12" s="40">
        <f t="shared" si="1"/>
        <v>0.36559139784946237</v>
      </c>
      <c r="I12" s="40">
        <f t="shared" si="2"/>
        <v>0.40165591397849437</v>
      </c>
      <c r="J12" s="40">
        <f t="shared" si="3"/>
        <v>0</v>
      </c>
      <c r="K12" s="117">
        <f t="shared" si="4"/>
        <v>0</v>
      </c>
      <c r="L12" s="117">
        <f t="shared" si="5"/>
        <v>0</v>
      </c>
    </row>
    <row r="13" spans="1:19">
      <c r="A13" s="41">
        <v>42339.5</v>
      </c>
      <c r="B13" s="30">
        <v>6.8866666666666028</v>
      </c>
      <c r="D13" s="40">
        <v>206</v>
      </c>
      <c r="E13" s="40">
        <v>133</v>
      </c>
      <c r="F13" s="40">
        <f t="shared" si="0"/>
        <v>339</v>
      </c>
      <c r="H13" s="40">
        <f t="shared" si="1"/>
        <v>0.47083333333333333</v>
      </c>
      <c r="I13" s="40">
        <f t="shared" si="2"/>
        <v>0.51384444444444843</v>
      </c>
      <c r="J13" s="40">
        <f t="shared" si="3"/>
        <v>0</v>
      </c>
      <c r="K13" s="117">
        <f t="shared" si="4"/>
        <v>0</v>
      </c>
      <c r="L13" s="117">
        <f t="shared" si="5"/>
        <v>0</v>
      </c>
    </row>
    <row r="14" spans="1:19">
      <c r="A14" s="41">
        <v>42370.5</v>
      </c>
      <c r="B14" s="30">
        <v>4.9032258064516272</v>
      </c>
      <c r="D14" s="40">
        <v>245</v>
      </c>
      <c r="E14" s="40">
        <v>235</v>
      </c>
      <c r="F14" s="40">
        <f t="shared" si="0"/>
        <v>480</v>
      </c>
      <c r="H14" s="40">
        <f t="shared" si="1"/>
        <v>0.64516129032258063</v>
      </c>
      <c r="I14" s="40">
        <f t="shared" si="2"/>
        <v>0.63946236559139702</v>
      </c>
      <c r="J14" s="40">
        <f t="shared" si="3"/>
        <v>0</v>
      </c>
      <c r="K14" s="117">
        <f t="shared" si="4"/>
        <v>0</v>
      </c>
      <c r="L14" s="117">
        <f t="shared" si="5"/>
        <v>0</v>
      </c>
    </row>
    <row r="15" spans="1:19">
      <c r="A15" s="41">
        <v>42401.5</v>
      </c>
      <c r="B15" s="30">
        <v>-0.25483870967740763</v>
      </c>
      <c r="D15" s="40">
        <v>265</v>
      </c>
      <c r="E15" s="40">
        <v>473</v>
      </c>
      <c r="F15" s="40">
        <f t="shared" si="0"/>
        <v>738</v>
      </c>
      <c r="H15" s="40">
        <f t="shared" si="1"/>
        <v>0.99193548387096775</v>
      </c>
      <c r="I15" s="40">
        <f t="shared" si="2"/>
        <v>0.96613978494623576</v>
      </c>
      <c r="J15" s="40">
        <f t="shared" si="3"/>
        <v>0</v>
      </c>
      <c r="K15" s="117">
        <f t="shared" si="4"/>
        <v>0</v>
      </c>
      <c r="L15" s="117">
        <f t="shared" si="5"/>
        <v>0</v>
      </c>
    </row>
    <row r="16" spans="1:19">
      <c r="A16" s="41">
        <v>42430.5</v>
      </c>
      <c r="B16" s="30">
        <v>3.4034482758620785</v>
      </c>
      <c r="D16" s="40">
        <v>219</v>
      </c>
      <c r="E16" s="40">
        <v>195</v>
      </c>
      <c r="F16" s="40">
        <f t="shared" si="0"/>
        <v>414</v>
      </c>
      <c r="H16" s="40">
        <f t="shared" si="1"/>
        <v>0.59482758620689657</v>
      </c>
      <c r="I16" s="40">
        <f t="shared" si="2"/>
        <v>0.73444827586206829</v>
      </c>
      <c r="J16" s="40">
        <f t="shared" si="3"/>
        <v>0</v>
      </c>
      <c r="K16" s="117">
        <f t="shared" si="4"/>
        <v>0</v>
      </c>
      <c r="L16" s="117">
        <f t="shared" si="5"/>
        <v>0</v>
      </c>
    </row>
    <row r="17" spans="1:23">
      <c r="A17" s="41">
        <v>42461.5</v>
      </c>
      <c r="B17" s="30">
        <v>4.4032258064515979</v>
      </c>
      <c r="D17" s="40">
        <v>205</v>
      </c>
      <c r="E17" s="40">
        <v>254</v>
      </c>
      <c r="F17" s="40">
        <f t="shared" si="0"/>
        <v>459</v>
      </c>
      <c r="H17" s="40">
        <f t="shared" si="1"/>
        <v>0.61693548387096775</v>
      </c>
      <c r="I17" s="40">
        <f t="shared" si="2"/>
        <v>0.67112903225806542</v>
      </c>
      <c r="J17" s="40">
        <f t="shared" si="3"/>
        <v>0</v>
      </c>
      <c r="K17" s="117">
        <f t="shared" si="4"/>
        <v>0</v>
      </c>
      <c r="L17" s="117">
        <f t="shared" si="5"/>
        <v>0</v>
      </c>
    </row>
    <row r="18" spans="1:23">
      <c r="A18" s="41">
        <v>42491.5</v>
      </c>
      <c r="B18" s="30">
        <v>9.0266666666666584</v>
      </c>
      <c r="D18" s="40">
        <v>208</v>
      </c>
      <c r="E18" s="40">
        <v>81</v>
      </c>
      <c r="F18" s="40">
        <f t="shared" si="0"/>
        <v>289</v>
      </c>
      <c r="H18" s="40">
        <f t="shared" si="1"/>
        <v>0.40138888888888885</v>
      </c>
      <c r="I18" s="40">
        <f t="shared" si="2"/>
        <v>0.3783111111111116</v>
      </c>
      <c r="J18" s="40">
        <f t="shared" si="3"/>
        <v>0</v>
      </c>
      <c r="K18" s="117">
        <f t="shared" si="4"/>
        <v>0</v>
      </c>
      <c r="L18" s="117">
        <f t="shared" si="5"/>
        <v>0</v>
      </c>
    </row>
    <row r="19" spans="1:23">
      <c r="A19" s="41">
        <v>42522.5</v>
      </c>
      <c r="B19" s="30">
        <v>14.625806451612892</v>
      </c>
      <c r="D19" s="40">
        <v>184</v>
      </c>
      <c r="F19" s="40">
        <f t="shared" si="0"/>
        <v>184</v>
      </c>
      <c r="H19" s="40">
        <f t="shared" si="1"/>
        <v>0.24731182795698925</v>
      </c>
      <c r="I19" s="40">
        <f t="shared" si="2"/>
        <v>2.3698924731183516E-2</v>
      </c>
      <c r="J19" s="40">
        <f t="shared" si="3"/>
        <v>0</v>
      </c>
      <c r="K19" s="117">
        <f t="shared" si="4"/>
        <v>0</v>
      </c>
      <c r="L19" s="117">
        <f t="shared" si="5"/>
        <v>0</v>
      </c>
    </row>
    <row r="20" spans="1:23">
      <c r="A20" s="41">
        <v>42552.5</v>
      </c>
      <c r="B20" s="30">
        <v>18.486666666666618</v>
      </c>
      <c r="D20" s="40">
        <v>157</v>
      </c>
      <c r="F20" s="40">
        <f t="shared" si="0"/>
        <v>157</v>
      </c>
      <c r="H20" s="40">
        <f t="shared" si="1"/>
        <v>0.21805555555555556</v>
      </c>
      <c r="I20" s="40">
        <f t="shared" si="2"/>
        <v>-0.22082222222221917</v>
      </c>
      <c r="J20" s="40">
        <f t="shared" si="3"/>
        <v>0</v>
      </c>
      <c r="K20" s="117">
        <f t="shared" si="4"/>
        <v>0</v>
      </c>
      <c r="L20" s="117">
        <f t="shared" si="5"/>
        <v>0</v>
      </c>
    </row>
    <row r="21" spans="1:23">
      <c r="A21" s="41">
        <v>42583.5</v>
      </c>
      <c r="B21" s="30">
        <v>19.922580645161272</v>
      </c>
      <c r="D21" s="40">
        <v>71</v>
      </c>
      <c r="F21" s="40">
        <f t="shared" si="0"/>
        <v>71</v>
      </c>
      <c r="G21" s="40">
        <v>182</v>
      </c>
      <c r="H21" s="40">
        <f t="shared" si="1"/>
        <v>9.5430107526881719E-2</v>
      </c>
      <c r="I21" s="40">
        <f t="shared" si="2"/>
        <v>-0.3117634408602139</v>
      </c>
      <c r="J21" s="40">
        <f t="shared" si="3"/>
        <v>0.2446236559139785</v>
      </c>
      <c r="K21" s="117">
        <f t="shared" si="4"/>
        <v>70.999999999999986</v>
      </c>
      <c r="L21" s="117">
        <f t="shared" si="5"/>
        <v>182</v>
      </c>
    </row>
    <row r="22" spans="1:23">
      <c r="A22" s="41">
        <v>42614.5</v>
      </c>
      <c r="B22" s="30">
        <v>18.554838709677444</v>
      </c>
      <c r="D22" s="40">
        <v>90</v>
      </c>
      <c r="F22" s="40">
        <f t="shared" si="0"/>
        <v>90</v>
      </c>
      <c r="G22" s="40">
        <v>410</v>
      </c>
      <c r="H22" s="40">
        <f t="shared" si="1"/>
        <v>0.12096774193548387</v>
      </c>
      <c r="I22" s="40">
        <f t="shared" si="2"/>
        <v>-0.22513978494623813</v>
      </c>
      <c r="J22" s="40">
        <f t="shared" si="3"/>
        <v>0.55107526881720437</v>
      </c>
      <c r="K22" s="117">
        <f t="shared" si="4"/>
        <v>161</v>
      </c>
      <c r="L22" s="117">
        <f t="shared" si="5"/>
        <v>592</v>
      </c>
    </row>
    <row r="23" spans="1:23">
      <c r="A23" s="41">
        <v>42644.5</v>
      </c>
      <c r="B23" s="30">
        <v>17.559999999999945</v>
      </c>
      <c r="D23" s="40">
        <v>144</v>
      </c>
      <c r="F23" s="40">
        <f t="shared" si="0"/>
        <v>144</v>
      </c>
      <c r="G23" s="40">
        <v>315</v>
      </c>
      <c r="H23" s="40">
        <f t="shared" si="1"/>
        <v>0.2</v>
      </c>
      <c r="I23" s="40">
        <f t="shared" si="2"/>
        <v>-0.16213333333332985</v>
      </c>
      <c r="J23" s="40">
        <f t="shared" si="3"/>
        <v>0.4375</v>
      </c>
      <c r="K23" s="117">
        <f t="shared" si="4"/>
        <v>305</v>
      </c>
      <c r="L23" s="117">
        <f t="shared" si="5"/>
        <v>907</v>
      </c>
    </row>
    <row r="24" spans="1:23">
      <c r="A24" s="41">
        <v>42675.5</v>
      </c>
      <c r="B24" s="30">
        <v>8.4258064516128393</v>
      </c>
      <c r="D24" s="40">
        <v>216</v>
      </c>
      <c r="E24" s="40">
        <v>128</v>
      </c>
      <c r="F24" s="40">
        <f t="shared" si="0"/>
        <v>344</v>
      </c>
      <c r="G24" s="40">
        <v>128</v>
      </c>
      <c r="H24" s="40">
        <f t="shared" si="1"/>
        <v>0.4623655913978495</v>
      </c>
      <c r="I24" s="40">
        <f t="shared" si="2"/>
        <v>0.41636559139785345</v>
      </c>
      <c r="J24" s="40">
        <f t="shared" si="3"/>
        <v>0.17204301075268816</v>
      </c>
      <c r="K24" s="117">
        <f t="shared" si="4"/>
        <v>433</v>
      </c>
      <c r="L24" s="117">
        <f t="shared" si="5"/>
        <v>1035</v>
      </c>
    </row>
    <row r="25" spans="1:23">
      <c r="A25" s="41">
        <v>42705.5</v>
      </c>
      <c r="B25" s="30">
        <v>3.2900000000000245</v>
      </c>
      <c r="D25" s="40">
        <v>319</v>
      </c>
      <c r="E25" s="40">
        <v>185</v>
      </c>
      <c r="F25" s="40">
        <f t="shared" si="0"/>
        <v>504</v>
      </c>
      <c r="G25" s="40">
        <v>70</v>
      </c>
      <c r="H25" s="40">
        <f t="shared" si="1"/>
        <v>0.7</v>
      </c>
      <c r="I25" s="40">
        <f t="shared" si="2"/>
        <v>0.7416333333333317</v>
      </c>
      <c r="J25" s="40">
        <f t="shared" si="3"/>
        <v>9.7222222222222224E-2</v>
      </c>
      <c r="K25" s="117">
        <f t="shared" si="4"/>
        <v>503</v>
      </c>
      <c r="L25" s="117">
        <f t="shared" si="5"/>
        <v>1105</v>
      </c>
      <c r="Q25" s="40" t="s">
        <v>176</v>
      </c>
      <c r="T25" s="40" t="s">
        <v>65</v>
      </c>
    </row>
    <row r="26" spans="1:23">
      <c r="A26" s="41">
        <v>42736.5</v>
      </c>
      <c r="B26" s="30">
        <v>0.53548387096778305</v>
      </c>
      <c r="D26" s="40">
        <v>251</v>
      </c>
      <c r="E26" s="40">
        <v>382</v>
      </c>
      <c r="F26" s="40">
        <f t="shared" si="0"/>
        <v>633</v>
      </c>
      <c r="G26" s="40">
        <v>56</v>
      </c>
      <c r="H26" s="40">
        <f t="shared" si="1"/>
        <v>0.85080645161290325</v>
      </c>
      <c r="I26" s="40">
        <f t="shared" si="2"/>
        <v>0.91608602150537366</v>
      </c>
      <c r="J26" s="40">
        <f t="shared" si="3"/>
        <v>7.5268817204301078E-2</v>
      </c>
      <c r="K26" s="117">
        <f t="shared" si="4"/>
        <v>559</v>
      </c>
      <c r="L26" s="117">
        <f t="shared" si="5"/>
        <v>1161</v>
      </c>
      <c r="Q26" s="40">
        <v>11.5</v>
      </c>
      <c r="R26" s="40">
        <v>10.5</v>
      </c>
      <c r="T26" s="40">
        <v>2</v>
      </c>
      <c r="U26" s="40" t="s">
        <v>175</v>
      </c>
    </row>
    <row r="27" spans="1:23">
      <c r="A27" s="41">
        <v>42767.5</v>
      </c>
      <c r="B27" s="30">
        <v>-4.5935483870967921</v>
      </c>
      <c r="D27" s="40">
        <v>296</v>
      </c>
      <c r="E27" s="40">
        <v>589</v>
      </c>
      <c r="F27" s="40">
        <f t="shared" si="0"/>
        <v>885</v>
      </c>
      <c r="G27" s="40">
        <v>64</v>
      </c>
      <c r="H27" s="40">
        <f t="shared" si="1"/>
        <v>1.189516129032258</v>
      </c>
      <c r="I27" s="40">
        <f t="shared" si="2"/>
        <v>1.2409247311827969</v>
      </c>
      <c r="J27" s="40">
        <f t="shared" si="3"/>
        <v>8.6021505376344079E-2</v>
      </c>
      <c r="K27" s="117">
        <f t="shared" si="4"/>
        <v>623</v>
      </c>
      <c r="L27" s="117">
        <f t="shared" si="5"/>
        <v>1225</v>
      </c>
      <c r="Q27" s="40">
        <v>8.5</v>
      </c>
      <c r="R27" s="40">
        <v>7.5</v>
      </c>
      <c r="T27" s="40">
        <v>2.5</v>
      </c>
      <c r="U27" s="40" t="s">
        <v>174</v>
      </c>
    </row>
    <row r="28" spans="1:23">
      <c r="A28" s="41">
        <v>42795.5</v>
      </c>
      <c r="B28" s="30">
        <v>2.2964285714285455</v>
      </c>
      <c r="D28" s="40">
        <v>197</v>
      </c>
      <c r="E28" s="40">
        <v>324</v>
      </c>
      <c r="F28" s="40">
        <f t="shared" si="0"/>
        <v>521</v>
      </c>
      <c r="G28" s="40">
        <v>84</v>
      </c>
      <c r="H28" s="40">
        <f t="shared" si="1"/>
        <v>0.77529761904761896</v>
      </c>
      <c r="I28" s="40">
        <f t="shared" si="2"/>
        <v>0.80455952380952533</v>
      </c>
      <c r="J28" s="40">
        <f t="shared" si="3"/>
        <v>0.125</v>
      </c>
      <c r="K28" s="117">
        <f t="shared" si="4"/>
        <v>707</v>
      </c>
      <c r="L28" s="117">
        <f t="shared" si="5"/>
        <v>1309</v>
      </c>
      <c r="Q28" s="40">
        <v>5.5</v>
      </c>
      <c r="R28" s="40">
        <v>2</v>
      </c>
      <c r="T28" s="40" t="s">
        <v>173</v>
      </c>
    </row>
    <row r="29" spans="1:23">
      <c r="A29" s="41">
        <v>42826.5</v>
      </c>
      <c r="B29" s="30">
        <v>7.5483870967742233</v>
      </c>
      <c r="D29" s="40">
        <v>249</v>
      </c>
      <c r="E29" s="40">
        <v>173</v>
      </c>
      <c r="F29" s="40">
        <f t="shared" si="0"/>
        <v>422</v>
      </c>
      <c r="G29" s="40">
        <v>260</v>
      </c>
      <c r="H29" s="40">
        <f t="shared" si="1"/>
        <v>0.56720430107526876</v>
      </c>
      <c r="I29" s="40">
        <f t="shared" si="2"/>
        <v>0.47193548387096584</v>
      </c>
      <c r="J29" s="40">
        <f t="shared" si="3"/>
        <v>0.34946236559139782</v>
      </c>
      <c r="K29" s="117">
        <f t="shared" si="4"/>
        <v>967</v>
      </c>
      <c r="L29" s="117">
        <f t="shared" si="5"/>
        <v>1569</v>
      </c>
      <c r="Q29" s="40">
        <f>Q26*Q27*Q28</f>
        <v>537.625</v>
      </c>
      <c r="R29" s="40">
        <f>R26*R27*R28</f>
        <v>157.5</v>
      </c>
    </row>
    <row r="30" spans="1:23">
      <c r="A30" s="41">
        <v>42856.5</v>
      </c>
      <c r="B30" s="30">
        <v>8.0766666666666733</v>
      </c>
      <c r="D30" s="40">
        <v>197</v>
      </c>
      <c r="E30" s="40">
        <v>113</v>
      </c>
      <c r="F30" s="40">
        <f t="shared" si="0"/>
        <v>310</v>
      </c>
      <c r="G30" s="40">
        <v>256</v>
      </c>
      <c r="H30" s="40">
        <f t="shared" si="1"/>
        <v>0.43055555555555552</v>
      </c>
      <c r="I30" s="40">
        <f t="shared" si="2"/>
        <v>0.4384777777777773</v>
      </c>
      <c r="J30" s="40">
        <f t="shared" si="3"/>
        <v>0.35555555555555557</v>
      </c>
      <c r="K30" s="117">
        <f t="shared" si="4"/>
        <v>1223</v>
      </c>
      <c r="L30" s="117">
        <f t="shared" si="5"/>
        <v>1825</v>
      </c>
    </row>
    <row r="31" spans="1:23">
      <c r="A31" s="41">
        <v>42887.5</v>
      </c>
      <c r="B31" s="30">
        <v>15.090322580645168</v>
      </c>
      <c r="D31" s="40">
        <v>118</v>
      </c>
      <c r="F31" s="40">
        <f t="shared" si="0"/>
        <v>118</v>
      </c>
      <c r="G31" s="40">
        <v>405</v>
      </c>
      <c r="H31" s="40">
        <f t="shared" si="1"/>
        <v>0.15860215053763441</v>
      </c>
      <c r="I31" s="40">
        <f t="shared" si="2"/>
        <v>-5.7204301075273042E-3</v>
      </c>
      <c r="J31" s="40">
        <f t="shared" si="3"/>
        <v>0.54435483870967738</v>
      </c>
      <c r="K31" s="117">
        <f t="shared" si="4"/>
        <v>1341</v>
      </c>
      <c r="L31" s="117">
        <f t="shared" si="5"/>
        <v>2230</v>
      </c>
      <c r="V31" s="40">
        <v>621</v>
      </c>
      <c r="W31" s="40" t="s">
        <v>172</v>
      </c>
    </row>
    <row r="32" spans="1:23">
      <c r="A32" s="41">
        <v>42917.5</v>
      </c>
      <c r="B32" s="30">
        <v>19.273333333333298</v>
      </c>
      <c r="D32" s="40">
        <v>114</v>
      </c>
      <c r="F32" s="40">
        <f t="shared" si="0"/>
        <v>114</v>
      </c>
      <c r="G32" s="40">
        <v>492</v>
      </c>
      <c r="H32" s="40">
        <f t="shared" si="1"/>
        <v>0.15833333333333333</v>
      </c>
      <c r="I32" s="40">
        <f t="shared" si="2"/>
        <v>-0.27064444444444219</v>
      </c>
      <c r="J32" s="40">
        <f t="shared" si="3"/>
        <v>0.68333333333333324</v>
      </c>
      <c r="K32" s="117">
        <f t="shared" si="4"/>
        <v>1455</v>
      </c>
      <c r="L32" s="117">
        <f t="shared" si="5"/>
        <v>2722</v>
      </c>
      <c r="V32" s="40">
        <f>V31/365/24</f>
        <v>7.089041095890411E-2</v>
      </c>
      <c r="W32" s="40" t="s">
        <v>184</v>
      </c>
    </row>
    <row r="33" spans="1:28">
      <c r="A33" s="41">
        <v>42948.5</v>
      </c>
      <c r="B33" s="30">
        <v>20.083870967741888</v>
      </c>
      <c r="D33" s="40">
        <v>71</v>
      </c>
      <c r="F33" s="40">
        <f t="shared" si="0"/>
        <v>71</v>
      </c>
      <c r="G33" s="40">
        <v>442</v>
      </c>
      <c r="H33" s="40">
        <f t="shared" si="1"/>
        <v>9.5430107526881719E-2</v>
      </c>
      <c r="I33" s="40">
        <f t="shared" si="2"/>
        <v>-0.32197849462365286</v>
      </c>
      <c r="J33" s="40">
        <f t="shared" si="3"/>
        <v>0.59408602150537637</v>
      </c>
      <c r="K33" s="117">
        <f t="shared" si="4"/>
        <v>1526</v>
      </c>
      <c r="L33" s="117">
        <f t="shared" si="5"/>
        <v>3164</v>
      </c>
    </row>
    <row r="34" spans="1:28">
      <c r="A34" s="41">
        <v>42979.5</v>
      </c>
      <c r="B34" s="30">
        <v>19.338709677419356</v>
      </c>
      <c r="D34" s="40">
        <v>121</v>
      </c>
      <c r="F34" s="40">
        <f t="shared" si="0"/>
        <v>121</v>
      </c>
      <c r="G34" s="40">
        <v>406</v>
      </c>
      <c r="H34" s="40">
        <f t="shared" si="1"/>
        <v>0.16263440860215056</v>
      </c>
      <c r="I34" s="40">
        <f t="shared" si="2"/>
        <v>-0.27478494623655919</v>
      </c>
      <c r="J34" s="40">
        <f t="shared" si="3"/>
        <v>0.54569892473118287</v>
      </c>
      <c r="K34" s="117">
        <f t="shared" si="4"/>
        <v>1647</v>
      </c>
      <c r="L34" s="117">
        <f t="shared" si="5"/>
        <v>3570</v>
      </c>
    </row>
    <row r="35" spans="1:28">
      <c r="A35" s="41">
        <v>43009.5</v>
      </c>
      <c r="B35" s="30">
        <v>13.006666666666872</v>
      </c>
      <c r="D35" s="40">
        <v>137</v>
      </c>
      <c r="F35" s="40">
        <f t="shared" si="0"/>
        <v>137</v>
      </c>
      <c r="G35" s="40">
        <v>195</v>
      </c>
      <c r="H35" s="40">
        <f t="shared" si="1"/>
        <v>0.19027777777777777</v>
      </c>
      <c r="I35" s="40">
        <f t="shared" si="2"/>
        <v>0.12624444444443142</v>
      </c>
      <c r="J35" s="40">
        <f t="shared" si="3"/>
        <v>0.27083333333333331</v>
      </c>
      <c r="K35" s="117">
        <f t="shared" si="4"/>
        <v>1784</v>
      </c>
      <c r="L35" s="117">
        <f t="shared" si="5"/>
        <v>3765</v>
      </c>
      <c r="R35" s="40" t="s">
        <v>171</v>
      </c>
      <c r="V35" s="40" t="s">
        <v>170</v>
      </c>
      <c r="AA35" s="40" t="s">
        <v>169</v>
      </c>
    </row>
    <row r="36" spans="1:28">
      <c r="A36" s="41">
        <v>43040.5</v>
      </c>
      <c r="B36" s="30">
        <v>10.809677419354909</v>
      </c>
      <c r="D36" s="40">
        <v>221</v>
      </c>
      <c r="E36" s="40">
        <v>67</v>
      </c>
      <c r="F36" s="40">
        <f t="shared" si="0"/>
        <v>288</v>
      </c>
      <c r="G36" s="40">
        <v>168</v>
      </c>
      <c r="H36" s="40">
        <f t="shared" si="1"/>
        <v>0.38709677419354838</v>
      </c>
      <c r="I36" s="40">
        <f t="shared" si="2"/>
        <v>0.26538709677418909</v>
      </c>
      <c r="J36" s="40">
        <f t="shared" si="3"/>
        <v>0.22580645161290322</v>
      </c>
      <c r="K36" s="117">
        <f t="shared" si="4"/>
        <v>1952</v>
      </c>
      <c r="L36" s="117">
        <f t="shared" si="5"/>
        <v>3933</v>
      </c>
      <c r="R36" s="40">
        <v>4134</v>
      </c>
      <c r="S36" s="40" t="s">
        <v>168</v>
      </c>
      <c r="V36" s="40">
        <v>2883</v>
      </c>
      <c r="W36" s="40" t="s">
        <v>143</v>
      </c>
      <c r="AA36" s="40">
        <v>4.8</v>
      </c>
      <c r="AB36" s="40" t="s">
        <v>167</v>
      </c>
    </row>
    <row r="37" spans="1:28">
      <c r="A37" s="41">
        <v>43070.5</v>
      </c>
      <c r="B37" s="30">
        <v>4.6066666666667517</v>
      </c>
      <c r="D37" s="40">
        <v>187</v>
      </c>
      <c r="E37" s="40">
        <v>226</v>
      </c>
      <c r="F37" s="40">
        <f t="shared" si="0"/>
        <v>413</v>
      </c>
      <c r="G37" s="40">
        <v>85</v>
      </c>
      <c r="H37" s="40">
        <f t="shared" si="1"/>
        <v>0.57361111111111107</v>
      </c>
      <c r="I37" s="40">
        <f t="shared" si="2"/>
        <v>0.65824444444443908</v>
      </c>
      <c r="J37" s="40">
        <f t="shared" si="3"/>
        <v>0.11805555555555557</v>
      </c>
      <c r="K37" s="117">
        <f t="shared" si="4"/>
        <v>2037</v>
      </c>
      <c r="L37" s="117">
        <f t="shared" si="5"/>
        <v>4018</v>
      </c>
      <c r="R37" s="40">
        <v>507</v>
      </c>
      <c r="S37" s="40" t="s">
        <v>166</v>
      </c>
      <c r="V37" s="40">
        <v>2167</v>
      </c>
      <c r="W37" s="40" t="s">
        <v>165</v>
      </c>
      <c r="AA37" s="40">
        <f>AA36/30</f>
        <v>0.16</v>
      </c>
      <c r="AB37" s="40" t="s">
        <v>164</v>
      </c>
    </row>
    <row r="38" spans="1:28">
      <c r="A38" s="41">
        <v>43101.5</v>
      </c>
      <c r="B38" s="30">
        <v>2.2806451612904635</v>
      </c>
      <c r="D38" s="40">
        <v>185</v>
      </c>
      <c r="E38" s="40">
        <v>435</v>
      </c>
      <c r="F38" s="40">
        <f t="shared" si="0"/>
        <v>620</v>
      </c>
      <c r="G38" s="40">
        <v>26</v>
      </c>
      <c r="H38" s="40">
        <f t="shared" si="1"/>
        <v>0.83333333333333326</v>
      </c>
      <c r="I38" s="40">
        <f t="shared" si="2"/>
        <v>0.80555913978493732</v>
      </c>
      <c r="J38" s="40">
        <f t="shared" si="3"/>
        <v>3.4946236559139789E-2</v>
      </c>
      <c r="K38" s="117">
        <f t="shared" si="4"/>
        <v>2063</v>
      </c>
      <c r="L38" s="117">
        <f t="shared" si="5"/>
        <v>4044</v>
      </c>
      <c r="R38" s="40">
        <f>SUM(R36:R37)</f>
        <v>4641</v>
      </c>
      <c r="V38" s="40">
        <v>1300</v>
      </c>
      <c r="W38" s="40" t="s">
        <v>149</v>
      </c>
    </row>
    <row r="39" spans="1:28">
      <c r="A39" s="41">
        <v>43132.5</v>
      </c>
      <c r="B39" s="30">
        <v>3.2483870967741582</v>
      </c>
      <c r="D39" s="40">
        <v>193</v>
      </c>
      <c r="E39" s="40">
        <v>419</v>
      </c>
      <c r="F39" s="40">
        <f t="shared" si="0"/>
        <v>612</v>
      </c>
      <c r="G39" s="40">
        <v>50</v>
      </c>
      <c r="H39" s="40">
        <f t="shared" si="1"/>
        <v>0.82258064516129037</v>
      </c>
      <c r="I39" s="40">
        <f t="shared" si="2"/>
        <v>0.74426881720430338</v>
      </c>
      <c r="J39" s="40">
        <f t="shared" si="3"/>
        <v>6.7204301075268813E-2</v>
      </c>
      <c r="K39" s="117">
        <f t="shared" si="4"/>
        <v>2113</v>
      </c>
      <c r="L39" s="117">
        <f t="shared" si="5"/>
        <v>4094</v>
      </c>
    </row>
    <row r="40" spans="1:28">
      <c r="A40" s="41">
        <v>43160.5</v>
      </c>
      <c r="B40" s="30">
        <v>-2.5500000000000518</v>
      </c>
      <c r="D40" s="40">
        <v>211</v>
      </c>
      <c r="E40" s="40">
        <v>586</v>
      </c>
      <c r="F40" s="40">
        <f t="shared" si="0"/>
        <v>797</v>
      </c>
      <c r="G40" s="40">
        <v>22</v>
      </c>
      <c r="H40" s="40">
        <f t="shared" si="1"/>
        <v>1.1860119047619049</v>
      </c>
      <c r="I40" s="40">
        <f t="shared" si="2"/>
        <v>1.111500000000003</v>
      </c>
      <c r="J40" s="40">
        <f t="shared" si="3"/>
        <v>3.273809523809524E-2</v>
      </c>
      <c r="K40" s="117">
        <f t="shared" si="4"/>
        <v>2135</v>
      </c>
      <c r="L40" s="117">
        <f t="shared" si="5"/>
        <v>4116</v>
      </c>
      <c r="R40" s="40">
        <v>3091</v>
      </c>
      <c r="S40" s="40" t="s">
        <v>163</v>
      </c>
      <c r="AA40" s="40">
        <v>2</v>
      </c>
    </row>
    <row r="41" spans="1:28">
      <c r="A41" s="41">
        <v>43191.5</v>
      </c>
      <c r="B41" s="30">
        <v>2.3838709677420411</v>
      </c>
      <c r="D41" s="40">
        <v>334</v>
      </c>
      <c r="E41" s="40">
        <v>357</v>
      </c>
      <c r="F41" s="40">
        <f t="shared" si="0"/>
        <v>691</v>
      </c>
      <c r="G41" s="40">
        <v>165</v>
      </c>
      <c r="H41" s="40">
        <f t="shared" si="1"/>
        <v>0.92876344086021512</v>
      </c>
      <c r="I41" s="40">
        <f t="shared" si="2"/>
        <v>0.79902150537633743</v>
      </c>
      <c r="J41" s="40">
        <f t="shared" si="3"/>
        <v>0.22177419354838709</v>
      </c>
      <c r="K41" s="117">
        <f t="shared" si="4"/>
        <v>2300</v>
      </c>
      <c r="L41" s="117">
        <f t="shared" si="5"/>
        <v>4281</v>
      </c>
      <c r="R41" s="40">
        <v>9353</v>
      </c>
      <c r="S41" s="40" t="s">
        <v>162</v>
      </c>
      <c r="AA41" s="40">
        <f>AA40/30</f>
        <v>6.6666666666666666E-2</v>
      </c>
      <c r="AB41" s="40" t="s">
        <v>161</v>
      </c>
    </row>
    <row r="42" spans="1:28">
      <c r="A42" s="41">
        <v>43221.5</v>
      </c>
      <c r="B42" s="30">
        <v>13.99333333333337</v>
      </c>
      <c r="D42" s="40">
        <v>107</v>
      </c>
      <c r="E42" s="40">
        <v>24</v>
      </c>
      <c r="F42" s="40">
        <f t="shared" si="0"/>
        <v>131</v>
      </c>
      <c r="G42" s="40">
        <v>408</v>
      </c>
      <c r="H42" s="40">
        <f t="shared" si="1"/>
        <v>0.18194444444444444</v>
      </c>
      <c r="I42" s="40">
        <f t="shared" si="2"/>
        <v>6.3755555555553262E-2</v>
      </c>
      <c r="J42" s="40">
        <f t="shared" si="3"/>
        <v>0.56666666666666665</v>
      </c>
      <c r="K42" s="117">
        <f t="shared" si="4"/>
        <v>2431</v>
      </c>
      <c r="L42" s="117">
        <f t="shared" si="5"/>
        <v>4689</v>
      </c>
      <c r="R42" s="40">
        <f>SUM(R40:R41)</f>
        <v>12444</v>
      </c>
    </row>
    <row r="43" spans="1:28">
      <c r="A43" s="41">
        <v>43252.5</v>
      </c>
      <c r="B43" s="30">
        <v>17.454838709677372</v>
      </c>
      <c r="D43" s="40">
        <v>82</v>
      </c>
      <c r="F43" s="40">
        <f t="shared" si="0"/>
        <v>82</v>
      </c>
      <c r="G43" s="40">
        <v>330</v>
      </c>
      <c r="H43" s="40">
        <f t="shared" si="1"/>
        <v>0.11021505376344086</v>
      </c>
      <c r="I43" s="40">
        <f t="shared" si="2"/>
        <v>-0.15547311827956686</v>
      </c>
      <c r="J43" s="40">
        <f t="shared" si="3"/>
        <v>0.44354838709677419</v>
      </c>
      <c r="K43" s="117">
        <f t="shared" si="4"/>
        <v>2513</v>
      </c>
      <c r="L43" s="117">
        <f t="shared" si="5"/>
        <v>5019</v>
      </c>
      <c r="R43" s="40">
        <f>R42/R38</f>
        <v>2.6813186813186811</v>
      </c>
      <c r="S43" s="40" t="s">
        <v>147</v>
      </c>
      <c r="V43" s="40">
        <f>V38/V37</f>
        <v>0.59990770650669123</v>
      </c>
      <c r="W43" s="40" t="s">
        <v>147</v>
      </c>
    </row>
    <row r="44" spans="1:28">
      <c r="A44" s="41">
        <v>43282.5</v>
      </c>
      <c r="B44" s="30">
        <v>18.759999999999977</v>
      </c>
      <c r="D44" s="40">
        <v>88</v>
      </c>
      <c r="F44" s="40">
        <f t="shared" si="0"/>
        <v>88</v>
      </c>
      <c r="G44" s="40">
        <v>286</v>
      </c>
      <c r="H44" s="40">
        <f t="shared" si="1"/>
        <v>0.12222222222222222</v>
      </c>
      <c r="I44" s="40">
        <f t="shared" si="2"/>
        <v>-0.23813333333333186</v>
      </c>
      <c r="J44" s="40">
        <f t="shared" si="3"/>
        <v>0.3972222222222222</v>
      </c>
      <c r="K44" s="117">
        <f t="shared" si="4"/>
        <v>2601</v>
      </c>
      <c r="L44" s="117">
        <f t="shared" si="5"/>
        <v>5305</v>
      </c>
      <c r="R44" s="40">
        <f>R41/R38</f>
        <v>2.0152984270631329</v>
      </c>
      <c r="S44" s="40" t="s">
        <v>147</v>
      </c>
    </row>
    <row r="45" spans="1:28">
      <c r="A45" s="41">
        <v>43313.5</v>
      </c>
      <c r="B45" s="30">
        <v>21.961290322580503</v>
      </c>
      <c r="D45" s="40">
        <v>85</v>
      </c>
      <c r="F45" s="40">
        <f t="shared" si="0"/>
        <v>85</v>
      </c>
      <c r="G45" s="40">
        <v>424</v>
      </c>
      <c r="H45" s="40">
        <f t="shared" si="1"/>
        <v>0.11424731182795698</v>
      </c>
      <c r="I45" s="40">
        <f t="shared" si="2"/>
        <v>-0.44088172043009849</v>
      </c>
      <c r="J45" s="40">
        <f t="shared" si="3"/>
        <v>0.56989247311827962</v>
      </c>
      <c r="K45" s="117">
        <f t="shared" si="4"/>
        <v>2686</v>
      </c>
      <c r="L45" s="117">
        <f t="shared" si="5"/>
        <v>5729</v>
      </c>
    </row>
    <row r="46" spans="1:28">
      <c r="A46" s="41">
        <v>43344.5</v>
      </c>
      <c r="B46" s="30">
        <v>21.751612903225901</v>
      </c>
      <c r="D46" s="40">
        <v>128</v>
      </c>
      <c r="F46" s="40">
        <f t="shared" si="0"/>
        <v>128</v>
      </c>
      <c r="G46" s="40">
        <v>441</v>
      </c>
      <c r="H46" s="40">
        <f t="shared" si="1"/>
        <v>0.17204301075268816</v>
      </c>
      <c r="I46" s="40">
        <f t="shared" si="2"/>
        <v>-0.42760215053764039</v>
      </c>
      <c r="J46" s="40">
        <f t="shared" si="3"/>
        <v>0.592741935483871</v>
      </c>
      <c r="K46" s="117">
        <f t="shared" si="4"/>
        <v>2814</v>
      </c>
      <c r="L46" s="117">
        <f t="shared" si="5"/>
        <v>6170</v>
      </c>
      <c r="V46" s="37">
        <f>R42-V38</f>
        <v>11144</v>
      </c>
      <c r="W46" s="37" t="s">
        <v>160</v>
      </c>
    </row>
    <row r="47" spans="1:28">
      <c r="A47" s="41">
        <v>43374.5</v>
      </c>
      <c r="B47" s="30">
        <v>16.043333333333369</v>
      </c>
      <c r="D47" s="40">
        <v>91</v>
      </c>
      <c r="F47" s="40">
        <f t="shared" si="0"/>
        <v>91</v>
      </c>
      <c r="G47" s="40">
        <v>316</v>
      </c>
      <c r="H47" s="40">
        <f t="shared" si="1"/>
        <v>0.12638888888888888</v>
      </c>
      <c r="I47" s="40">
        <f t="shared" si="2"/>
        <v>-6.6077777777779997E-2</v>
      </c>
      <c r="J47" s="40">
        <f t="shared" si="3"/>
        <v>0.43888888888888888</v>
      </c>
      <c r="K47" s="117">
        <f t="shared" si="4"/>
        <v>2905</v>
      </c>
      <c r="L47" s="117">
        <f t="shared" si="5"/>
        <v>6486</v>
      </c>
    </row>
    <row r="48" spans="1:28">
      <c r="A48" s="41">
        <v>43405.5</v>
      </c>
      <c r="B48" s="30">
        <v>11.01935483870969</v>
      </c>
      <c r="D48" s="40">
        <v>159</v>
      </c>
      <c r="E48" s="40">
        <v>48</v>
      </c>
      <c r="F48" s="40">
        <f t="shared" si="0"/>
        <v>207</v>
      </c>
      <c r="G48" s="40">
        <v>190</v>
      </c>
      <c r="H48" s="40">
        <f t="shared" si="1"/>
        <v>0.27822580645161288</v>
      </c>
      <c r="I48" s="40">
        <f t="shared" si="2"/>
        <v>0.25210752688171961</v>
      </c>
      <c r="J48" s="40">
        <f t="shared" si="3"/>
        <v>0.2553763440860215</v>
      </c>
      <c r="K48" s="117">
        <f t="shared" si="4"/>
        <v>3095</v>
      </c>
      <c r="L48" s="117">
        <f t="shared" si="5"/>
        <v>6676</v>
      </c>
    </row>
    <row r="49" spans="1:30">
      <c r="A49" s="41">
        <v>43435.5</v>
      </c>
      <c r="B49" s="30">
        <v>4.2866666666666786</v>
      </c>
      <c r="D49" s="40">
        <v>223</v>
      </c>
      <c r="E49" s="40">
        <v>204</v>
      </c>
      <c r="F49" s="40">
        <f t="shared" si="0"/>
        <v>427</v>
      </c>
      <c r="G49" s="40">
        <v>89</v>
      </c>
      <c r="H49" s="40">
        <f t="shared" si="1"/>
        <v>0.59305555555555556</v>
      </c>
      <c r="I49" s="40">
        <f t="shared" si="2"/>
        <v>0.67851111111111029</v>
      </c>
      <c r="J49" s="40">
        <f t="shared" si="3"/>
        <v>0.12361111111111112</v>
      </c>
      <c r="K49" s="117">
        <f t="shared" si="4"/>
        <v>3184</v>
      </c>
      <c r="L49" s="117">
        <f t="shared" si="5"/>
        <v>6765</v>
      </c>
      <c r="R49" s="37" t="s">
        <v>159</v>
      </c>
    </row>
    <row r="50" spans="1:30">
      <c r="A50" s="41">
        <v>43466.5</v>
      </c>
      <c r="B50" s="30">
        <v>3.2290322580642932</v>
      </c>
      <c r="D50" s="40">
        <v>304</v>
      </c>
      <c r="E50" s="40">
        <v>306</v>
      </c>
      <c r="F50" s="40">
        <f t="shared" si="0"/>
        <v>610</v>
      </c>
      <c r="G50" s="40">
        <v>20</v>
      </c>
      <c r="H50" s="40">
        <f t="shared" si="1"/>
        <v>0.81989247311827962</v>
      </c>
      <c r="I50" s="40">
        <f t="shared" si="2"/>
        <v>0.745494623655928</v>
      </c>
      <c r="J50" s="40">
        <f t="shared" si="3"/>
        <v>2.6881720430107527E-2</v>
      </c>
      <c r="K50" s="117">
        <f t="shared" si="4"/>
        <v>3204</v>
      </c>
      <c r="L50" s="117">
        <f t="shared" si="5"/>
        <v>6785</v>
      </c>
      <c r="R50" s="40" t="s">
        <v>129</v>
      </c>
      <c r="S50" s="40" t="s">
        <v>158</v>
      </c>
      <c r="U50" s="40" t="s">
        <v>34</v>
      </c>
      <c r="V50" s="40" t="s">
        <v>183</v>
      </c>
      <c r="Y50" s="40" t="s">
        <v>180</v>
      </c>
    </row>
    <row r="51" spans="1:30">
      <c r="A51" s="41">
        <v>43497.5</v>
      </c>
      <c r="B51" s="30">
        <v>0.25483870967740763</v>
      </c>
      <c r="F51" s="40">
        <f t="shared" si="0"/>
        <v>0</v>
      </c>
      <c r="H51" s="40">
        <f t="shared" si="1"/>
        <v>0</v>
      </c>
      <c r="I51" s="40">
        <f t="shared" si="2"/>
        <v>0.93386021505376415</v>
      </c>
      <c r="K51" s="117">
        <f t="shared" si="4"/>
        <v>3204</v>
      </c>
      <c r="L51" s="117">
        <f t="shared" si="5"/>
        <v>6785</v>
      </c>
      <c r="R51" s="40">
        <v>3</v>
      </c>
      <c r="S51" s="40">
        <v>1.6</v>
      </c>
      <c r="U51" s="40">
        <f>R51*24*85+S51*1000</f>
        <v>7720</v>
      </c>
      <c r="V51" s="40">
        <v>2.0099999999999998</v>
      </c>
      <c r="W51" s="40">
        <f>U51*V51</f>
        <v>15517.199999999999</v>
      </c>
      <c r="X51" s="40">
        <v>3091</v>
      </c>
      <c r="Y51" s="40">
        <f>SUM(W51:X51)</f>
        <v>18608.199999999997</v>
      </c>
      <c r="AA51" s="40">
        <f>W51-W52</f>
        <v>10344.799999999999</v>
      </c>
      <c r="AB51" s="40">
        <v>60000</v>
      </c>
      <c r="AC51" s="40">
        <f>AB51/AA51</f>
        <v>5.8000154667079116</v>
      </c>
      <c r="AD51" s="40" t="s">
        <v>157</v>
      </c>
    </row>
    <row r="52" spans="1:30">
      <c r="G52" s="117"/>
      <c r="R52" s="40" t="s">
        <v>182</v>
      </c>
      <c r="U52" s="40">
        <f>U51/3</f>
        <v>2573.3333333333335</v>
      </c>
      <c r="V52" s="40">
        <v>2.0099999999999998</v>
      </c>
      <c r="W52" s="40">
        <f>U52*V52</f>
        <v>5172.3999999999996</v>
      </c>
      <c r="X52" s="40">
        <v>3091</v>
      </c>
      <c r="Y52" s="37">
        <f>SUM(W52:X52)</f>
        <v>8263.4</v>
      </c>
    </row>
    <row r="53" spans="1:30">
      <c r="G53" s="117"/>
    </row>
    <row r="54" spans="1:30">
      <c r="G54" s="117"/>
      <c r="Y54" s="37">
        <f>Y52/V46</f>
        <v>0.74151112706389088</v>
      </c>
      <c r="Z54" s="37" t="s">
        <v>181</v>
      </c>
    </row>
  </sheetData>
  <hyperlinks>
    <hyperlink ref="D1" r:id="rId1" location="technicke-parametry"/>
  </hyperlinks>
  <pageMargins left="0.7" right="0.7" top="0.78740157499999996" bottom="0.78740157499999996" header="0.3" footer="0.3"/>
  <pageSetup paperSize="0" orientation="portrait" horizontalDpi="0" verticalDpi="0" copie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W65"/>
  <sheetViews>
    <sheetView workbookViewId="0">
      <selection activeCell="A4" sqref="A4"/>
    </sheetView>
  </sheetViews>
  <sheetFormatPr defaultColWidth="5.140625" defaultRowHeight="15"/>
  <cols>
    <col min="1" max="1" width="10.140625" style="141" bestFit="1" customWidth="1"/>
    <col min="2" max="2" width="10.140625" style="141" customWidth="1"/>
    <col min="3" max="3" width="10.140625" style="141" bestFit="1" customWidth="1"/>
    <col min="4" max="4" width="5.140625" style="141"/>
    <col min="5" max="5" width="6" style="141" customWidth="1"/>
    <col min="6" max="8" width="6.42578125" style="141" customWidth="1"/>
    <col min="9" max="9" width="5.140625" style="141"/>
    <col min="10" max="11" width="6" style="141" bestFit="1" customWidth="1"/>
    <col min="12" max="16384" width="5.140625" style="141"/>
  </cols>
  <sheetData>
    <row r="1" spans="1:18">
      <c r="A1" s="141" t="s">
        <v>1505</v>
      </c>
      <c r="B1" s="141">
        <f>SUM(B6:B65)/60</f>
        <v>10.272534266468929</v>
      </c>
      <c r="C1" s="141">
        <f>SUM(C6:C65)/60</f>
        <v>10.199999999999999</v>
      </c>
      <c r="E1" s="152"/>
      <c r="F1" s="144">
        <v>0.88</v>
      </c>
      <c r="G1" s="141" t="s">
        <v>1504</v>
      </c>
      <c r="J1" s="141" t="s">
        <v>1503</v>
      </c>
      <c r="L1" s="141" t="s">
        <v>1502</v>
      </c>
    </row>
    <row r="2" spans="1:18">
      <c r="B2" s="141">
        <f>280-(C1-B1)*100/0.65</f>
        <v>291.15911791829689</v>
      </c>
      <c r="C2" s="141" t="s">
        <v>996</v>
      </c>
      <c r="E2" s="152"/>
      <c r="F2" s="3">
        <v>11.5</v>
      </c>
      <c r="G2" s="141" t="s">
        <v>1501</v>
      </c>
      <c r="K2" s="141" t="s">
        <v>1500</v>
      </c>
      <c r="L2" s="141">
        <f>F2*1000/30</f>
        <v>383.33333333333331</v>
      </c>
      <c r="M2" s="141" t="s">
        <v>316</v>
      </c>
      <c r="O2" s="141">
        <v>21</v>
      </c>
      <c r="P2" s="141">
        <v>14.3</v>
      </c>
      <c r="Q2" s="141">
        <f>(O2-P2)*L2/1000</f>
        <v>2.5683333333333329</v>
      </c>
      <c r="R2" s="141" t="s">
        <v>1499</v>
      </c>
    </row>
    <row r="3" spans="1:18">
      <c r="A3" s="141" t="s">
        <v>1533</v>
      </c>
      <c r="D3" s="141" t="s">
        <v>1498</v>
      </c>
      <c r="E3" s="31">
        <v>0.7</v>
      </c>
      <c r="F3" s="3">
        <v>15</v>
      </c>
      <c r="G3" s="141" t="s">
        <v>1497</v>
      </c>
      <c r="L3" s="146" t="s">
        <v>1496</v>
      </c>
    </row>
    <row r="4" spans="1:18">
      <c r="E4" s="152" t="s">
        <v>1</v>
      </c>
      <c r="F4" s="141" t="s">
        <v>2</v>
      </c>
    </row>
    <row r="5" spans="1:18">
      <c r="A5" s="142">
        <v>42735</v>
      </c>
      <c r="B5" s="142" t="s">
        <v>1035</v>
      </c>
      <c r="C5" s="141" t="s">
        <v>1495</v>
      </c>
      <c r="E5" s="152" t="s">
        <v>1</v>
      </c>
      <c r="F5" s="141" t="s">
        <v>1494</v>
      </c>
      <c r="G5" s="141" t="s">
        <v>1493</v>
      </c>
      <c r="H5" s="141" t="s">
        <v>1492</v>
      </c>
      <c r="I5" s="141" t="s">
        <v>1506</v>
      </c>
      <c r="J5" s="141" t="s">
        <v>1491</v>
      </c>
      <c r="K5" s="141" t="s">
        <v>1490</v>
      </c>
    </row>
    <row r="6" spans="1:18">
      <c r="A6" s="142">
        <v>42766</v>
      </c>
      <c r="B6" s="141">
        <v>-4.6645161290322701</v>
      </c>
      <c r="C6" s="141">
        <v>-5</v>
      </c>
      <c r="D6" s="141">
        <v>761</v>
      </c>
      <c r="E6" s="152">
        <f t="shared" ref="E6:E37" si="0">(D6)*10.7/(A6-A5)/24*E$3</f>
        <v>7.6611424731182796</v>
      </c>
      <c r="F6" s="141">
        <f t="shared" ref="F6:F37" si="1">F$1+(IF(F$3-$B6&gt;0,F$3-$B6,0)*F$2/30)</f>
        <v>8.4180645161290375</v>
      </c>
      <c r="G6" s="141">
        <f t="shared" ref="G6:G37" si="2">F$1+(IF(F$3-$C6&gt;0,F$3-$C6,0)*F$2/30)</f>
        <v>8.5466666666666669</v>
      </c>
      <c r="H6" s="141">
        <f t="shared" ref="H6:H37" si="3">E6-F6</f>
        <v>-0.75692204301075794</v>
      </c>
      <c r="I6" s="141">
        <f>E6-G6</f>
        <v>-0.8855241935483873</v>
      </c>
      <c r="J6" s="141">
        <f>E6*24*(A6-A5)</f>
        <v>5699.89</v>
      </c>
      <c r="K6" s="141">
        <f>F6*24*(A6-A5)</f>
        <v>6263.0400000000045</v>
      </c>
    </row>
    <row r="7" spans="1:18">
      <c r="A7" s="142">
        <v>42794</v>
      </c>
      <c r="B7" s="141">
        <v>1.9642857142856818</v>
      </c>
      <c r="C7" s="141">
        <v>2</v>
      </c>
      <c r="D7" s="141">
        <v>514</v>
      </c>
      <c r="E7" s="152">
        <f t="shared" si="0"/>
        <v>5.7289583333333329</v>
      </c>
      <c r="F7" s="141">
        <f t="shared" si="1"/>
        <v>5.8770238095238225</v>
      </c>
      <c r="G7" s="141">
        <f t="shared" si="2"/>
        <v>5.8633333333333333</v>
      </c>
      <c r="H7" s="141">
        <f t="shared" si="3"/>
        <v>-0.1480654761904896</v>
      </c>
      <c r="I7" s="141">
        <f t="shared" ref="I7:I65" si="4">E7-G7</f>
        <v>-0.13437500000000036</v>
      </c>
      <c r="J7" s="141">
        <f t="shared" ref="J7:J38" si="5">J6+E7*24*(A7-A6)</f>
        <v>9549.75</v>
      </c>
      <c r="K7" s="141">
        <f t="shared" ref="K7:K38" si="6">K6+F7*24*(A7-A6)</f>
        <v>10212.400000000012</v>
      </c>
    </row>
    <row r="8" spans="1:18">
      <c r="A8" s="142">
        <v>42825</v>
      </c>
      <c r="B8" s="141">
        <v>7.2516129032258414</v>
      </c>
      <c r="C8" s="141">
        <v>7</v>
      </c>
      <c r="D8" s="141">
        <v>397</v>
      </c>
      <c r="E8" s="152">
        <f t="shared" si="0"/>
        <v>3.9966801075268816</v>
      </c>
      <c r="F8" s="141">
        <f t="shared" si="1"/>
        <v>3.8502150537634274</v>
      </c>
      <c r="G8" s="141">
        <f t="shared" si="2"/>
        <v>3.9466666666666668</v>
      </c>
      <c r="H8" s="141">
        <f t="shared" si="3"/>
        <v>0.1464650537634542</v>
      </c>
      <c r="I8" s="141">
        <f t="shared" si="4"/>
        <v>5.0013440860214864E-2</v>
      </c>
      <c r="J8" s="141">
        <f t="shared" si="5"/>
        <v>12523.28</v>
      </c>
      <c r="K8" s="141">
        <f t="shared" si="6"/>
        <v>13076.960000000003</v>
      </c>
    </row>
    <row r="9" spans="1:18">
      <c r="A9" s="142">
        <v>42855</v>
      </c>
      <c r="B9" s="141">
        <v>8.2133333333333205</v>
      </c>
      <c r="C9" s="141">
        <v>8</v>
      </c>
      <c r="D9" s="141">
        <v>298</v>
      </c>
      <c r="E9" s="152">
        <f t="shared" si="0"/>
        <v>3.1000277777777772</v>
      </c>
      <c r="F9" s="141">
        <f t="shared" si="1"/>
        <v>3.4815555555555604</v>
      </c>
      <c r="G9" s="141">
        <f t="shared" si="2"/>
        <v>3.563333333333333</v>
      </c>
      <c r="H9" s="141">
        <f t="shared" si="3"/>
        <v>-0.38152777777778324</v>
      </c>
      <c r="I9" s="141">
        <f t="shared" si="4"/>
        <v>-0.46330555555555586</v>
      </c>
      <c r="J9" s="141">
        <f t="shared" si="5"/>
        <v>14755.3</v>
      </c>
      <c r="K9" s="141">
        <f t="shared" si="6"/>
        <v>15583.680000000006</v>
      </c>
    </row>
    <row r="10" spans="1:18">
      <c r="A10" s="142">
        <v>42886</v>
      </c>
      <c r="B10" s="141">
        <v>14.832258064516134</v>
      </c>
      <c r="C10" s="141">
        <v>16</v>
      </c>
      <c r="D10" s="141">
        <v>134</v>
      </c>
      <c r="E10" s="152">
        <f t="shared" si="0"/>
        <v>1.3490053763440859</v>
      </c>
      <c r="F10" s="141">
        <f t="shared" si="1"/>
        <v>0.94430107526881524</v>
      </c>
      <c r="G10" s="141">
        <f t="shared" si="2"/>
        <v>0.88</v>
      </c>
      <c r="H10" s="141">
        <f t="shared" si="3"/>
        <v>0.40470430107527067</v>
      </c>
      <c r="I10" s="141">
        <f t="shared" si="4"/>
        <v>0.4690053763440859</v>
      </c>
      <c r="J10" s="141">
        <f t="shared" si="5"/>
        <v>15758.96</v>
      </c>
      <c r="K10" s="141">
        <f t="shared" si="6"/>
        <v>16286.240000000003</v>
      </c>
    </row>
    <row r="11" spans="1:18">
      <c r="A11" s="142">
        <v>42916</v>
      </c>
      <c r="B11" s="141">
        <v>19.27666666666661</v>
      </c>
      <c r="C11" s="141">
        <v>20</v>
      </c>
      <c r="D11" s="141">
        <v>57</v>
      </c>
      <c r="E11" s="152">
        <f t="shared" si="0"/>
        <v>0.59295833333333325</v>
      </c>
      <c r="F11" s="141">
        <f t="shared" si="1"/>
        <v>0.88</v>
      </c>
      <c r="G11" s="141">
        <f t="shared" si="2"/>
        <v>0.88</v>
      </c>
      <c r="H11" s="141">
        <f t="shared" si="3"/>
        <v>-0.28704166666666675</v>
      </c>
      <c r="I11" s="141">
        <f t="shared" si="4"/>
        <v>-0.28704166666666675</v>
      </c>
      <c r="J11" s="141">
        <f t="shared" si="5"/>
        <v>16185.89</v>
      </c>
      <c r="K11" s="141">
        <f t="shared" si="6"/>
        <v>16919.840000000004</v>
      </c>
    </row>
    <row r="12" spans="1:18">
      <c r="A12" s="142">
        <v>42947</v>
      </c>
      <c r="B12" s="141">
        <v>19.838709677419356</v>
      </c>
      <c r="C12" s="141">
        <v>21</v>
      </c>
      <c r="D12" s="141">
        <v>57</v>
      </c>
      <c r="E12" s="152">
        <f t="shared" si="0"/>
        <v>0.57383064516129023</v>
      </c>
      <c r="F12" s="141">
        <f t="shared" si="1"/>
        <v>0.88</v>
      </c>
      <c r="G12" s="141">
        <f t="shared" si="2"/>
        <v>0.88</v>
      </c>
      <c r="H12" s="141">
        <f t="shared" si="3"/>
        <v>-0.30616935483870977</v>
      </c>
      <c r="I12" s="141">
        <f t="shared" si="4"/>
        <v>-0.30616935483870977</v>
      </c>
      <c r="J12" s="141">
        <f t="shared" si="5"/>
        <v>16612.82</v>
      </c>
      <c r="K12" s="141">
        <f t="shared" si="6"/>
        <v>17574.560000000005</v>
      </c>
    </row>
    <row r="13" spans="1:18">
      <c r="A13" s="142">
        <v>42978</v>
      </c>
      <c r="B13" s="141">
        <v>19.741935483870968</v>
      </c>
      <c r="C13" s="141">
        <v>20</v>
      </c>
      <c r="D13" s="141">
        <v>58</v>
      </c>
      <c r="E13" s="152">
        <f t="shared" si="0"/>
        <v>0.58389784946236545</v>
      </c>
      <c r="F13" s="141">
        <f t="shared" si="1"/>
        <v>0.88</v>
      </c>
      <c r="G13" s="141">
        <f t="shared" si="2"/>
        <v>0.88</v>
      </c>
      <c r="H13" s="141">
        <f t="shared" si="3"/>
        <v>-0.29610215053763456</v>
      </c>
      <c r="I13" s="141">
        <f t="shared" si="4"/>
        <v>-0.29610215053763456</v>
      </c>
      <c r="J13" s="141">
        <f t="shared" si="5"/>
        <v>17047.239999999998</v>
      </c>
      <c r="K13" s="141">
        <f t="shared" si="6"/>
        <v>18229.280000000006</v>
      </c>
    </row>
    <row r="14" spans="1:18">
      <c r="A14" s="142">
        <v>43008</v>
      </c>
      <c r="B14" s="141">
        <v>13.086666666666861</v>
      </c>
      <c r="C14" s="141">
        <v>13</v>
      </c>
      <c r="D14" s="141">
        <v>174</v>
      </c>
      <c r="E14" s="152">
        <f t="shared" si="0"/>
        <v>1.810083333333333</v>
      </c>
      <c r="F14" s="141">
        <f t="shared" si="1"/>
        <v>1.6134444444443696</v>
      </c>
      <c r="G14" s="141">
        <f t="shared" si="2"/>
        <v>1.6466666666666667</v>
      </c>
      <c r="H14" s="141">
        <f t="shared" si="3"/>
        <v>0.19663888888896341</v>
      </c>
      <c r="I14" s="141">
        <f t="shared" si="4"/>
        <v>0.16341666666666632</v>
      </c>
      <c r="J14" s="141">
        <f t="shared" si="5"/>
        <v>18350.499999999996</v>
      </c>
      <c r="K14" s="141">
        <f t="shared" si="6"/>
        <v>19390.959999999952</v>
      </c>
    </row>
    <row r="15" spans="1:18">
      <c r="A15" s="142">
        <v>43039</v>
      </c>
      <c r="B15" s="141">
        <v>10.935483870967801</v>
      </c>
      <c r="C15" s="141">
        <v>11</v>
      </c>
      <c r="D15" s="141">
        <v>265</v>
      </c>
      <c r="E15" s="152">
        <f t="shared" si="0"/>
        <v>2.6678091397849459</v>
      </c>
      <c r="F15" s="141">
        <f t="shared" si="1"/>
        <v>2.43806451612901</v>
      </c>
      <c r="G15" s="141">
        <f t="shared" si="2"/>
        <v>2.4133333333333336</v>
      </c>
      <c r="H15" s="141">
        <f t="shared" si="3"/>
        <v>0.22974462365593595</v>
      </c>
      <c r="I15" s="141">
        <f t="shared" si="4"/>
        <v>0.25447580645161239</v>
      </c>
      <c r="J15" s="141">
        <f t="shared" si="5"/>
        <v>20335.349999999995</v>
      </c>
      <c r="K15" s="141">
        <f t="shared" si="6"/>
        <v>21204.879999999936</v>
      </c>
    </row>
    <row r="16" spans="1:18">
      <c r="A16" s="142">
        <v>43069</v>
      </c>
      <c r="B16" s="141">
        <v>4.8533333333334063</v>
      </c>
      <c r="C16" s="141">
        <v>5</v>
      </c>
      <c r="D16" s="141">
        <v>445</v>
      </c>
      <c r="E16" s="152">
        <f t="shared" si="0"/>
        <v>4.6292361111111111</v>
      </c>
      <c r="F16" s="141">
        <f t="shared" si="1"/>
        <v>4.7695555555555273</v>
      </c>
      <c r="G16" s="141">
        <f t="shared" si="2"/>
        <v>4.7133333333333338</v>
      </c>
      <c r="H16" s="141">
        <f t="shared" si="3"/>
        <v>-0.14031944444441624</v>
      </c>
      <c r="I16" s="141">
        <f t="shared" si="4"/>
        <v>-8.4097222222222712E-2</v>
      </c>
      <c r="J16" s="141">
        <f t="shared" si="5"/>
        <v>23668.399999999994</v>
      </c>
      <c r="K16" s="141">
        <f t="shared" si="6"/>
        <v>24638.959999999915</v>
      </c>
    </row>
    <row r="17" spans="1:23">
      <c r="A17" s="142">
        <v>43100</v>
      </c>
      <c r="B17" s="141">
        <v>2.0709677419356245</v>
      </c>
      <c r="C17" s="141">
        <v>2</v>
      </c>
      <c r="D17" s="141">
        <v>588</v>
      </c>
      <c r="E17" s="152">
        <f t="shared" si="0"/>
        <v>5.9195161290322567</v>
      </c>
      <c r="F17" s="141">
        <f t="shared" si="1"/>
        <v>5.8361290322580102</v>
      </c>
      <c r="G17" s="141">
        <f t="shared" si="2"/>
        <v>5.8633333333333333</v>
      </c>
      <c r="H17" s="141">
        <f t="shared" si="3"/>
        <v>8.3387096774246494E-2</v>
      </c>
      <c r="I17" s="141">
        <f t="shared" si="4"/>
        <v>5.6182795698923371E-2</v>
      </c>
      <c r="J17" s="141">
        <f t="shared" si="5"/>
        <v>28072.519999999993</v>
      </c>
      <c r="K17" s="141">
        <f t="shared" si="6"/>
        <v>28981.039999999874</v>
      </c>
    </row>
    <row r="18" spans="1:23">
      <c r="A18" s="142">
        <v>43131</v>
      </c>
      <c r="B18" s="141">
        <v>3.2967741935483521</v>
      </c>
      <c r="C18" s="141">
        <v>3</v>
      </c>
      <c r="D18" s="141">
        <v>527</v>
      </c>
      <c r="E18" s="152">
        <f t="shared" si="0"/>
        <v>5.305416666666666</v>
      </c>
      <c r="F18" s="141">
        <f t="shared" si="1"/>
        <v>5.3662365591397982</v>
      </c>
      <c r="G18" s="141">
        <f t="shared" si="2"/>
        <v>5.4799999999999995</v>
      </c>
      <c r="H18" s="141">
        <f t="shared" si="3"/>
        <v>-6.0819892473132242E-2</v>
      </c>
      <c r="I18" s="141">
        <f t="shared" si="4"/>
        <v>-0.17458333333333353</v>
      </c>
      <c r="J18" s="141">
        <f t="shared" si="5"/>
        <v>32019.749999999993</v>
      </c>
      <c r="K18" s="141">
        <f t="shared" si="6"/>
        <v>32973.51999999988</v>
      </c>
    </row>
    <row r="19" spans="1:23">
      <c r="A19" s="142">
        <v>43159</v>
      </c>
      <c r="B19" s="141">
        <v>-2.0607142857143117</v>
      </c>
      <c r="C19" s="141">
        <v>-1</v>
      </c>
      <c r="D19" s="141">
        <v>600</v>
      </c>
      <c r="E19" s="152">
        <f t="shared" si="0"/>
        <v>6.6875</v>
      </c>
      <c r="F19" s="141">
        <f t="shared" si="1"/>
        <v>7.4199404761904857</v>
      </c>
      <c r="G19" s="141">
        <f t="shared" si="2"/>
        <v>7.0133333333333336</v>
      </c>
      <c r="H19" s="141">
        <f t="shared" si="3"/>
        <v>-0.73244047619048569</v>
      </c>
      <c r="I19" s="141">
        <f t="shared" si="4"/>
        <v>-0.32583333333333364</v>
      </c>
      <c r="J19" s="141">
        <f t="shared" si="5"/>
        <v>36513.749999999993</v>
      </c>
      <c r="K19" s="141">
        <f t="shared" si="6"/>
        <v>37959.719999999885</v>
      </c>
    </row>
    <row r="20" spans="1:23">
      <c r="A20" s="142">
        <v>43190</v>
      </c>
      <c r="B20" s="141">
        <v>1.9032258064517302</v>
      </c>
      <c r="C20" s="141">
        <v>4</v>
      </c>
      <c r="D20" s="141">
        <v>562</v>
      </c>
      <c r="E20" s="152">
        <f t="shared" si="0"/>
        <v>5.6577688172043006</v>
      </c>
      <c r="F20" s="141">
        <f t="shared" si="1"/>
        <v>5.9004301075268364</v>
      </c>
      <c r="G20" s="141">
        <f t="shared" si="2"/>
        <v>5.0966666666666667</v>
      </c>
      <c r="H20" s="141">
        <f t="shared" si="3"/>
        <v>-0.24266129032253581</v>
      </c>
      <c r="I20" s="141">
        <f t="shared" si="4"/>
        <v>0.5611021505376339</v>
      </c>
      <c r="J20" s="141">
        <f t="shared" si="5"/>
        <v>40723.12999999999</v>
      </c>
      <c r="K20" s="141">
        <f t="shared" si="6"/>
        <v>42349.639999999854</v>
      </c>
    </row>
    <row r="21" spans="1:23">
      <c r="A21" s="142">
        <v>43220</v>
      </c>
      <c r="B21" s="141">
        <v>13.7</v>
      </c>
      <c r="C21" s="141">
        <v>15</v>
      </c>
      <c r="D21" s="141">
        <v>172</v>
      </c>
      <c r="E21" s="152">
        <f t="shared" si="0"/>
        <v>1.7892777777777775</v>
      </c>
      <c r="F21" s="141">
        <f t="shared" si="1"/>
        <v>1.3783333333333336</v>
      </c>
      <c r="G21" s="141">
        <f t="shared" si="2"/>
        <v>0.88</v>
      </c>
      <c r="H21" s="141">
        <f t="shared" si="3"/>
        <v>0.41094444444444389</v>
      </c>
      <c r="I21" s="141">
        <f t="shared" si="4"/>
        <v>0.90927777777777752</v>
      </c>
      <c r="J21" s="141">
        <f t="shared" si="5"/>
        <v>42011.409999999989</v>
      </c>
      <c r="K21" s="141">
        <f t="shared" si="6"/>
        <v>43342.039999999855</v>
      </c>
    </row>
    <row r="22" spans="1:23">
      <c r="A22" s="142">
        <v>43251</v>
      </c>
      <c r="B22" s="141">
        <v>17.258064516128975</v>
      </c>
      <c r="C22" s="141">
        <v>19</v>
      </c>
      <c r="D22" s="141">
        <v>95</v>
      </c>
      <c r="E22" s="152">
        <f t="shared" si="0"/>
        <v>0.95638440860215046</v>
      </c>
      <c r="F22" s="141">
        <f t="shared" si="1"/>
        <v>0.88</v>
      </c>
      <c r="G22" s="141">
        <f t="shared" si="2"/>
        <v>0.88</v>
      </c>
      <c r="H22" s="141">
        <f t="shared" si="3"/>
        <v>7.6384408602150455E-2</v>
      </c>
      <c r="I22" s="141">
        <f t="shared" si="4"/>
        <v>7.6384408602150455E-2</v>
      </c>
      <c r="J22" s="141">
        <f t="shared" si="5"/>
        <v>42722.959999999992</v>
      </c>
      <c r="K22" s="141">
        <f t="shared" si="6"/>
        <v>43996.759999999857</v>
      </c>
    </row>
    <row r="23" spans="1:23">
      <c r="A23" s="142">
        <v>43281</v>
      </c>
      <c r="B23" s="141">
        <v>18.956666666666692</v>
      </c>
      <c r="C23" s="141">
        <v>21</v>
      </c>
      <c r="D23" s="141">
        <v>83</v>
      </c>
      <c r="E23" s="152">
        <f t="shared" si="0"/>
        <v>0.86343055555555537</v>
      </c>
      <c r="F23" s="141">
        <f t="shared" si="1"/>
        <v>0.88</v>
      </c>
      <c r="G23" s="141">
        <f t="shared" si="2"/>
        <v>0.88</v>
      </c>
      <c r="H23" s="141">
        <f t="shared" si="3"/>
        <v>-1.6569444444444636E-2</v>
      </c>
      <c r="I23" s="141">
        <f t="shared" si="4"/>
        <v>-1.6569444444444636E-2</v>
      </c>
      <c r="J23" s="141">
        <f t="shared" si="5"/>
        <v>43344.62999999999</v>
      </c>
      <c r="K23" s="141">
        <f t="shared" si="6"/>
        <v>44630.359999999855</v>
      </c>
    </row>
    <row r="24" spans="1:23">
      <c r="A24" s="142">
        <v>43312</v>
      </c>
      <c r="B24" s="141">
        <v>21.558064516128891</v>
      </c>
      <c r="C24" s="141">
        <v>22</v>
      </c>
      <c r="D24" s="141">
        <v>78</v>
      </c>
      <c r="E24" s="152">
        <f t="shared" si="0"/>
        <v>0.78524193548387078</v>
      </c>
      <c r="F24" s="141">
        <f t="shared" si="1"/>
        <v>0.88</v>
      </c>
      <c r="G24" s="141">
        <f t="shared" si="2"/>
        <v>0.88</v>
      </c>
      <c r="H24" s="141">
        <f t="shared" si="3"/>
        <v>-9.4758064516129226E-2</v>
      </c>
      <c r="I24" s="141">
        <f t="shared" si="4"/>
        <v>-9.4758064516129226E-2</v>
      </c>
      <c r="J24" s="141">
        <f t="shared" si="5"/>
        <v>43928.849999999991</v>
      </c>
      <c r="K24" s="141">
        <f t="shared" si="6"/>
        <v>45285.079999999856</v>
      </c>
    </row>
    <row r="25" spans="1:23">
      <c r="A25" s="142">
        <v>43343</v>
      </c>
      <c r="B25" s="141">
        <v>22.174193548387144</v>
      </c>
      <c r="C25" s="141">
        <v>21</v>
      </c>
      <c r="D25" s="141">
        <v>80</v>
      </c>
      <c r="E25" s="152">
        <f t="shared" si="0"/>
        <v>0.80537634408602155</v>
      </c>
      <c r="F25" s="141">
        <f t="shared" si="1"/>
        <v>0.88</v>
      </c>
      <c r="G25" s="141">
        <f t="shared" si="2"/>
        <v>0.88</v>
      </c>
      <c r="H25" s="141">
        <f t="shared" si="3"/>
        <v>-7.4623655913978459E-2</v>
      </c>
      <c r="I25" s="141">
        <f t="shared" si="4"/>
        <v>-7.4623655913978459E-2</v>
      </c>
      <c r="J25" s="141">
        <f t="shared" si="5"/>
        <v>44528.049999999988</v>
      </c>
      <c r="K25" s="141">
        <f t="shared" si="6"/>
        <v>45939.799999999857</v>
      </c>
    </row>
    <row r="26" spans="1:23">
      <c r="A26" s="142">
        <v>43373</v>
      </c>
      <c r="B26" s="141">
        <v>16.290000000000084</v>
      </c>
      <c r="C26" s="141">
        <v>15</v>
      </c>
      <c r="D26" s="141">
        <v>125</v>
      </c>
      <c r="E26" s="152">
        <f t="shared" si="0"/>
        <v>1.3003472222222223</v>
      </c>
      <c r="F26" s="141">
        <f t="shared" si="1"/>
        <v>0.88</v>
      </c>
      <c r="G26" s="141">
        <f t="shared" si="2"/>
        <v>0.88</v>
      </c>
      <c r="H26" s="141">
        <f t="shared" si="3"/>
        <v>0.42034722222222232</v>
      </c>
      <c r="I26" s="141">
        <f t="shared" si="4"/>
        <v>0.42034722222222232</v>
      </c>
      <c r="J26" s="141">
        <f t="shared" si="5"/>
        <v>45464.299999999988</v>
      </c>
      <c r="K26" s="141">
        <f t="shared" si="6"/>
        <v>46573.399999999856</v>
      </c>
    </row>
    <row r="27" spans="1:23">
      <c r="A27" s="142">
        <v>43404</v>
      </c>
      <c r="B27" s="141">
        <v>10.941935483870932</v>
      </c>
      <c r="C27" s="141">
        <v>10</v>
      </c>
      <c r="D27" s="141">
        <v>284</v>
      </c>
      <c r="E27" s="152">
        <f t="shared" si="0"/>
        <v>2.8590860215053757</v>
      </c>
      <c r="F27" s="141">
        <f t="shared" si="1"/>
        <v>2.4355913978494761</v>
      </c>
      <c r="G27" s="141">
        <f t="shared" si="2"/>
        <v>2.7966666666666669</v>
      </c>
      <c r="H27" s="141">
        <f t="shared" si="3"/>
        <v>0.42349462365589963</v>
      </c>
      <c r="I27" s="141">
        <f t="shared" si="4"/>
        <v>6.2419354838708863E-2</v>
      </c>
      <c r="J27" s="141">
        <f t="shared" si="5"/>
        <v>47591.459999999985</v>
      </c>
      <c r="K27" s="141">
        <f t="shared" si="6"/>
        <v>48385.479999999865</v>
      </c>
    </row>
    <row r="28" spans="1:23">
      <c r="A28" s="142">
        <v>43434</v>
      </c>
      <c r="B28" s="141">
        <v>4.6500000000000608</v>
      </c>
      <c r="C28" s="141">
        <v>5</v>
      </c>
      <c r="D28" s="141">
        <v>453</v>
      </c>
      <c r="E28" s="152">
        <f t="shared" si="0"/>
        <v>4.7124583333333323</v>
      </c>
      <c r="F28" s="141">
        <f t="shared" si="1"/>
        <v>4.847499999999977</v>
      </c>
      <c r="G28" s="141">
        <f t="shared" si="2"/>
        <v>4.7133333333333338</v>
      </c>
      <c r="H28" s="141">
        <f t="shared" si="3"/>
        <v>-0.13504166666664474</v>
      </c>
      <c r="I28" s="141">
        <f t="shared" si="4"/>
        <v>-8.7500000000151346E-4</v>
      </c>
      <c r="J28" s="141">
        <f t="shared" si="5"/>
        <v>50984.429999999986</v>
      </c>
      <c r="K28" s="141">
        <f t="shared" si="6"/>
        <v>51875.679999999847</v>
      </c>
    </row>
    <row r="29" spans="1:23">
      <c r="A29" s="142">
        <v>43465</v>
      </c>
      <c r="B29" s="141">
        <v>2.980645161290076</v>
      </c>
      <c r="C29" s="141">
        <v>3</v>
      </c>
      <c r="D29" s="141">
        <v>557</v>
      </c>
      <c r="E29" s="152">
        <f t="shared" si="0"/>
        <v>5.6074327956989238</v>
      </c>
      <c r="F29" s="141">
        <f t="shared" si="1"/>
        <v>5.4874193548388046</v>
      </c>
      <c r="G29" s="141">
        <f t="shared" si="2"/>
        <v>5.4799999999999995</v>
      </c>
      <c r="H29" s="141">
        <f t="shared" si="3"/>
        <v>0.12001344086011922</v>
      </c>
      <c r="I29" s="141">
        <f t="shared" si="4"/>
        <v>0.12743279569892429</v>
      </c>
      <c r="J29" s="141">
        <f t="shared" si="5"/>
        <v>55156.359999999986</v>
      </c>
      <c r="K29" s="141">
        <f t="shared" si="6"/>
        <v>55958.31999999992</v>
      </c>
      <c r="W29" s="141" t="s">
        <v>1489</v>
      </c>
    </row>
    <row r="30" spans="1:23">
      <c r="A30" s="142">
        <v>43496</v>
      </c>
      <c r="B30" s="141">
        <v>0.16129032258052781</v>
      </c>
      <c r="C30" s="141">
        <v>0</v>
      </c>
      <c r="D30" s="141">
        <v>642</v>
      </c>
      <c r="E30" s="152">
        <f t="shared" si="0"/>
        <v>6.4631451612903215</v>
      </c>
      <c r="F30" s="141">
        <f t="shared" si="1"/>
        <v>6.5681720430107973</v>
      </c>
      <c r="G30" s="141">
        <f t="shared" si="2"/>
        <v>6.63</v>
      </c>
      <c r="H30" s="141">
        <f t="shared" si="3"/>
        <v>-0.10502688172047581</v>
      </c>
      <c r="I30" s="141">
        <f t="shared" si="4"/>
        <v>-0.16685483870967843</v>
      </c>
      <c r="J30" s="141">
        <f t="shared" si="5"/>
        <v>59964.939999999988</v>
      </c>
      <c r="K30" s="141">
        <f t="shared" si="6"/>
        <v>60845.03999999995</v>
      </c>
    </row>
    <row r="31" spans="1:23">
      <c r="A31" s="142">
        <v>43524</v>
      </c>
      <c r="B31" s="141">
        <v>2.7857142857143509</v>
      </c>
      <c r="C31" s="141">
        <v>2</v>
      </c>
      <c r="D31" s="141">
        <v>499</v>
      </c>
      <c r="E31" s="152">
        <f t="shared" si="0"/>
        <v>5.5617708333333322</v>
      </c>
      <c r="F31" s="141">
        <f t="shared" si="1"/>
        <v>5.5621428571428329</v>
      </c>
      <c r="G31" s="141">
        <f t="shared" si="2"/>
        <v>5.8633333333333333</v>
      </c>
      <c r="H31" s="141">
        <f t="shared" si="3"/>
        <v>-3.720238095006323E-4</v>
      </c>
      <c r="I31" s="141">
        <f t="shared" si="4"/>
        <v>-0.30156250000000107</v>
      </c>
      <c r="J31" s="141">
        <f t="shared" si="5"/>
        <v>63702.44999999999</v>
      </c>
      <c r="K31" s="141">
        <f t="shared" si="6"/>
        <v>64582.79999999993</v>
      </c>
    </row>
    <row r="32" spans="1:23">
      <c r="A32" s="142">
        <v>43555</v>
      </c>
      <c r="B32" s="141">
        <v>7.3999999999999293</v>
      </c>
      <c r="C32" s="141">
        <v>6</v>
      </c>
      <c r="D32" s="141">
        <v>448</v>
      </c>
      <c r="E32" s="152">
        <f t="shared" si="0"/>
        <v>4.5101075268817201</v>
      </c>
      <c r="F32" s="141">
        <f t="shared" si="1"/>
        <v>3.7933333333333605</v>
      </c>
      <c r="G32" s="141">
        <f t="shared" si="2"/>
        <v>4.33</v>
      </c>
      <c r="H32" s="141">
        <f t="shared" si="3"/>
        <v>0.71677419354835958</v>
      </c>
      <c r="I32" s="141">
        <f t="shared" si="4"/>
        <v>0.18010752688172005</v>
      </c>
      <c r="J32" s="141">
        <f t="shared" si="5"/>
        <v>67057.969999999987</v>
      </c>
      <c r="K32" s="141">
        <f t="shared" si="6"/>
        <v>67405.03999999995</v>
      </c>
    </row>
    <row r="33" spans="1:11">
      <c r="A33" s="142">
        <v>43585</v>
      </c>
      <c r="B33" s="141">
        <v>10.726666666666764</v>
      </c>
      <c r="C33" s="141">
        <v>11</v>
      </c>
      <c r="D33" s="141">
        <v>259</v>
      </c>
      <c r="E33" s="152">
        <f t="shared" si="0"/>
        <v>2.694319444444444</v>
      </c>
      <c r="F33" s="141">
        <f t="shared" si="1"/>
        <v>2.5181111111110734</v>
      </c>
      <c r="G33" s="141">
        <f t="shared" si="2"/>
        <v>2.4133333333333336</v>
      </c>
      <c r="H33" s="141">
        <f t="shared" si="3"/>
        <v>0.1762083333333706</v>
      </c>
      <c r="I33" s="141">
        <f t="shared" si="4"/>
        <v>0.28098611111111049</v>
      </c>
      <c r="J33" s="141">
        <f t="shared" si="5"/>
        <v>68997.87999999999</v>
      </c>
      <c r="K33" s="141">
        <f t="shared" si="6"/>
        <v>69218.079999999929</v>
      </c>
    </row>
    <row r="34" spans="1:11">
      <c r="A34" s="142">
        <v>43616</v>
      </c>
      <c r="B34" s="141">
        <v>12.003225806451448</v>
      </c>
      <c r="C34" s="141">
        <v>12</v>
      </c>
      <c r="D34" s="141">
        <v>239</v>
      </c>
      <c r="E34" s="152">
        <f t="shared" si="0"/>
        <v>2.406061827956989</v>
      </c>
      <c r="F34" s="141">
        <f t="shared" si="1"/>
        <v>2.0287634408602782</v>
      </c>
      <c r="G34" s="141">
        <f t="shared" si="2"/>
        <v>2.0299999999999998</v>
      </c>
      <c r="H34" s="141">
        <f t="shared" si="3"/>
        <v>0.37729838709671082</v>
      </c>
      <c r="I34" s="141">
        <f t="shared" si="4"/>
        <v>0.37606182795698917</v>
      </c>
      <c r="J34" s="141">
        <f t="shared" si="5"/>
        <v>70787.989999999991</v>
      </c>
      <c r="K34" s="141">
        <f t="shared" si="6"/>
        <v>70727.479999999981</v>
      </c>
    </row>
    <row r="35" spans="1:11">
      <c r="A35" s="142">
        <v>43646</v>
      </c>
      <c r="B35" s="141">
        <v>21.836666666666861</v>
      </c>
      <c r="C35" s="141">
        <v>22</v>
      </c>
      <c r="D35" s="141">
        <v>85</v>
      </c>
      <c r="E35" s="152">
        <f t="shared" si="0"/>
        <v>0.88423611111111089</v>
      </c>
      <c r="F35" s="141">
        <f t="shared" si="1"/>
        <v>0.88</v>
      </c>
      <c r="G35" s="141">
        <f t="shared" si="2"/>
        <v>0.88</v>
      </c>
      <c r="H35" s="141">
        <f t="shared" si="3"/>
        <v>4.2361111111108851E-3</v>
      </c>
      <c r="I35" s="141">
        <f t="shared" si="4"/>
        <v>4.2361111111108851E-3</v>
      </c>
      <c r="J35" s="141">
        <f t="shared" si="5"/>
        <v>71424.639999999985</v>
      </c>
      <c r="K35" s="141">
        <f t="shared" si="6"/>
        <v>71361.079999999987</v>
      </c>
    </row>
    <row r="36" spans="1:11">
      <c r="A36" s="142">
        <v>43677</v>
      </c>
      <c r="B36" s="141">
        <v>20.43870967741919</v>
      </c>
      <c r="C36" s="141">
        <v>21</v>
      </c>
      <c r="D36" s="141">
        <v>86</v>
      </c>
      <c r="E36" s="152">
        <f t="shared" si="0"/>
        <v>0.86577956989247296</v>
      </c>
      <c r="F36" s="141">
        <f t="shared" si="1"/>
        <v>0.88</v>
      </c>
      <c r="G36" s="141">
        <f t="shared" si="2"/>
        <v>0.88</v>
      </c>
      <c r="H36" s="141">
        <f t="shared" si="3"/>
        <v>-1.4220430107527049E-2</v>
      </c>
      <c r="I36" s="141">
        <f t="shared" si="4"/>
        <v>-1.4220430107527049E-2</v>
      </c>
      <c r="J36" s="141">
        <f t="shared" si="5"/>
        <v>72068.779999999984</v>
      </c>
      <c r="K36" s="141">
        <f t="shared" si="6"/>
        <v>72015.799999999988</v>
      </c>
    </row>
    <row r="37" spans="1:11">
      <c r="A37" s="142">
        <v>43708</v>
      </c>
      <c r="B37" s="141">
        <v>20.251612903225784</v>
      </c>
      <c r="C37" s="141">
        <v>20</v>
      </c>
      <c r="D37" s="141">
        <v>86</v>
      </c>
      <c r="E37" s="152">
        <f t="shared" si="0"/>
        <v>0.86577956989247296</v>
      </c>
      <c r="F37" s="141">
        <f t="shared" si="1"/>
        <v>0.88</v>
      </c>
      <c r="G37" s="141">
        <f t="shared" si="2"/>
        <v>0.88</v>
      </c>
      <c r="H37" s="141">
        <f t="shared" si="3"/>
        <v>-1.4220430107527049E-2</v>
      </c>
      <c r="I37" s="141">
        <f t="shared" si="4"/>
        <v>-1.4220430107527049E-2</v>
      </c>
      <c r="J37" s="141">
        <f t="shared" si="5"/>
        <v>72712.919999999984</v>
      </c>
      <c r="K37" s="141">
        <f t="shared" si="6"/>
        <v>72670.51999999999</v>
      </c>
    </row>
    <row r="38" spans="1:11">
      <c r="A38" s="142">
        <v>43738</v>
      </c>
      <c r="B38" s="141">
        <v>14.953333333333164</v>
      </c>
      <c r="C38" s="141">
        <v>14</v>
      </c>
      <c r="D38" s="141">
        <v>147</v>
      </c>
      <c r="E38" s="152">
        <f t="shared" ref="E38:E65" si="7">(D38)*10.7/(A38-A37)/24*E$3</f>
        <v>1.5292083333333328</v>
      </c>
      <c r="F38" s="141">
        <f t="shared" ref="F38:F65" si="8">F$1+(IF(F$3-$B38&gt;0,F$3-$B38,0)*F$2/30)</f>
        <v>0.89788888888895368</v>
      </c>
      <c r="G38" s="141">
        <f t="shared" ref="G38:G65" si="9">F$1+(IF(F$3-$C38&gt;0,F$3-$C38,0)*F$2/30)</f>
        <v>1.2633333333333334</v>
      </c>
      <c r="H38" s="141">
        <f t="shared" ref="H38:H65" si="10">E38-F38</f>
        <v>0.63131944444437915</v>
      </c>
      <c r="I38" s="141">
        <f t="shared" si="4"/>
        <v>0.26587499999999942</v>
      </c>
      <c r="J38" s="141">
        <f t="shared" si="5"/>
        <v>73813.949999999983</v>
      </c>
      <c r="K38" s="141">
        <f t="shared" si="6"/>
        <v>73317.000000000029</v>
      </c>
    </row>
    <row r="39" spans="1:11">
      <c r="A39" s="142">
        <v>43769</v>
      </c>
      <c r="B39" s="141">
        <v>10.574193548386956</v>
      </c>
      <c r="C39" s="141">
        <v>10</v>
      </c>
      <c r="D39" s="141">
        <v>286</v>
      </c>
      <c r="E39" s="152">
        <f t="shared" si="7"/>
        <v>2.8792204301075262</v>
      </c>
      <c r="F39" s="141">
        <f t="shared" si="8"/>
        <v>2.5765591397850001</v>
      </c>
      <c r="G39" s="141">
        <f t="shared" si="9"/>
        <v>2.7966666666666669</v>
      </c>
      <c r="H39" s="141">
        <f t="shared" si="10"/>
        <v>0.30266129032252609</v>
      </c>
      <c r="I39" s="141">
        <f t="shared" si="4"/>
        <v>8.2553763440859296E-2</v>
      </c>
      <c r="J39" s="141">
        <f t="shared" ref="J39:J65" si="11">J38+E39*24*(A39-A38)</f>
        <v>75956.089999999982</v>
      </c>
      <c r="K39" s="141">
        <f t="shared" ref="K39:K65" si="12">K38+F39*24*(A39-A38)</f>
        <v>75233.960000000065</v>
      </c>
    </row>
    <row r="40" spans="1:11">
      <c r="A40" s="142">
        <v>43799</v>
      </c>
      <c r="B40" s="141">
        <v>6.2733333333332366</v>
      </c>
      <c r="C40" s="141">
        <v>6</v>
      </c>
      <c r="D40" s="141">
        <v>459</v>
      </c>
      <c r="E40" s="152">
        <f t="shared" si="7"/>
        <v>4.7748749999999989</v>
      </c>
      <c r="F40" s="141">
        <f t="shared" si="8"/>
        <v>4.2252222222222588</v>
      </c>
      <c r="G40" s="141">
        <f t="shared" si="9"/>
        <v>4.33</v>
      </c>
      <c r="H40" s="141">
        <f t="shared" si="10"/>
        <v>0.54965277777774002</v>
      </c>
      <c r="I40" s="141">
        <f t="shared" si="4"/>
        <v>0.4448749999999988</v>
      </c>
      <c r="J40" s="141">
        <f t="shared" si="11"/>
        <v>79393.999999999985</v>
      </c>
      <c r="K40" s="141">
        <f t="shared" si="12"/>
        <v>78276.120000000097</v>
      </c>
    </row>
    <row r="41" spans="1:11">
      <c r="A41" s="142">
        <v>43830</v>
      </c>
      <c r="B41" s="141">
        <v>3.0548387096770906</v>
      </c>
      <c r="C41" s="141">
        <v>3</v>
      </c>
      <c r="D41" s="141">
        <v>556</v>
      </c>
      <c r="E41" s="152">
        <f t="shared" si="7"/>
        <v>5.5973655913978488</v>
      </c>
      <c r="F41" s="141">
        <f t="shared" si="8"/>
        <v>5.458978494623782</v>
      </c>
      <c r="G41" s="141">
        <f t="shared" si="9"/>
        <v>5.4799999999999995</v>
      </c>
      <c r="H41" s="141">
        <f t="shared" si="10"/>
        <v>0.1383870967740668</v>
      </c>
      <c r="I41" s="141">
        <f t="shared" si="4"/>
        <v>0.1173655913978493</v>
      </c>
      <c r="J41" s="141">
        <f t="shared" si="11"/>
        <v>83558.439999999988</v>
      </c>
      <c r="K41" s="141">
        <f t="shared" si="12"/>
        <v>82337.600000000195</v>
      </c>
    </row>
    <row r="42" spans="1:11">
      <c r="A42" s="142">
        <v>43861</v>
      </c>
      <c r="B42" s="141">
        <v>1.4935483870965161</v>
      </c>
      <c r="C42" s="141">
        <v>2</v>
      </c>
      <c r="D42" s="141">
        <v>555</v>
      </c>
      <c r="E42" s="152">
        <f t="shared" si="7"/>
        <v>5.5872983870967738</v>
      </c>
      <c r="F42" s="141">
        <f t="shared" si="8"/>
        <v>6.0574731182796686</v>
      </c>
      <c r="G42" s="141">
        <f t="shared" si="9"/>
        <v>5.8633333333333333</v>
      </c>
      <c r="H42" s="141">
        <f t="shared" si="10"/>
        <v>-0.47017473118289477</v>
      </c>
      <c r="I42" s="141">
        <f t="shared" si="4"/>
        <v>-0.27603494623655944</v>
      </c>
      <c r="J42" s="141">
        <f t="shared" si="11"/>
        <v>87715.389999999985</v>
      </c>
      <c r="K42" s="141">
        <f t="shared" si="12"/>
        <v>86844.360000000263</v>
      </c>
    </row>
    <row r="43" spans="1:11">
      <c r="A43" s="142">
        <v>43890</v>
      </c>
      <c r="B43" s="141">
        <v>5.331034482758696</v>
      </c>
      <c r="C43" s="141">
        <v>4</v>
      </c>
      <c r="D43" s="141">
        <v>464</v>
      </c>
      <c r="E43" s="152">
        <f t="shared" si="7"/>
        <v>4.9933333333333323</v>
      </c>
      <c r="F43" s="141">
        <f t="shared" si="8"/>
        <v>4.5864367816091667</v>
      </c>
      <c r="G43" s="141">
        <f t="shared" si="9"/>
        <v>5.0966666666666667</v>
      </c>
      <c r="H43" s="141">
        <f t="shared" si="10"/>
        <v>0.40689655172416561</v>
      </c>
      <c r="I43" s="141">
        <f t="shared" si="4"/>
        <v>-0.10333333333333439</v>
      </c>
      <c r="J43" s="141">
        <f t="shared" si="11"/>
        <v>91190.749999999985</v>
      </c>
      <c r="K43" s="141">
        <f t="shared" si="12"/>
        <v>90036.520000000237</v>
      </c>
    </row>
    <row r="44" spans="1:11">
      <c r="A44" s="142">
        <v>43921</v>
      </c>
      <c r="B44" s="141">
        <v>5.209677419354839</v>
      </c>
      <c r="C44" s="141">
        <v>5</v>
      </c>
      <c r="D44" s="141">
        <v>454</v>
      </c>
      <c r="E44" s="152">
        <f t="shared" si="7"/>
        <v>4.570510752688171</v>
      </c>
      <c r="F44" s="141">
        <f t="shared" si="8"/>
        <v>4.6329569892473117</v>
      </c>
      <c r="G44" s="141">
        <f t="shared" si="9"/>
        <v>4.7133333333333338</v>
      </c>
      <c r="H44" s="141">
        <f t="shared" si="10"/>
        <v>-6.2446236559140722E-2</v>
      </c>
      <c r="I44" s="141">
        <f t="shared" si="4"/>
        <v>-0.14282258064516284</v>
      </c>
      <c r="J44" s="141">
        <f t="shared" si="11"/>
        <v>94591.209999999992</v>
      </c>
      <c r="K44" s="141">
        <f t="shared" si="12"/>
        <v>93483.440000000235</v>
      </c>
    </row>
    <row r="45" spans="1:11">
      <c r="A45" s="142">
        <v>43951</v>
      </c>
      <c r="B45" s="141">
        <v>10.563333333333503</v>
      </c>
      <c r="C45" s="141">
        <v>11</v>
      </c>
      <c r="D45" s="141">
        <v>199</v>
      </c>
      <c r="E45" s="152">
        <f t="shared" si="7"/>
        <v>2.0701527777777775</v>
      </c>
      <c r="F45" s="141">
        <f t="shared" si="8"/>
        <v>2.5807222222221573</v>
      </c>
      <c r="G45" s="141">
        <f t="shared" si="9"/>
        <v>2.4133333333333336</v>
      </c>
      <c r="H45" s="141">
        <f t="shared" si="10"/>
        <v>-0.51056944444437979</v>
      </c>
      <c r="I45" s="141">
        <f t="shared" si="4"/>
        <v>-0.34318055555555604</v>
      </c>
      <c r="J45" s="141">
        <f t="shared" si="11"/>
        <v>96081.719999999987</v>
      </c>
      <c r="K45" s="141">
        <f t="shared" si="12"/>
        <v>95341.560000000187</v>
      </c>
    </row>
    <row r="46" spans="1:11">
      <c r="A46" s="142">
        <v>43982</v>
      </c>
      <c r="B46" s="141">
        <v>12.283870967742029</v>
      </c>
      <c r="C46" s="141">
        <v>13</v>
      </c>
      <c r="D46" s="141">
        <v>164</v>
      </c>
      <c r="E46" s="152">
        <f t="shared" si="7"/>
        <v>1.651021505376344</v>
      </c>
      <c r="F46" s="141">
        <f t="shared" si="8"/>
        <v>1.9211827956988889</v>
      </c>
      <c r="G46" s="141">
        <f t="shared" si="9"/>
        <v>1.6466666666666667</v>
      </c>
      <c r="H46" s="141">
        <f t="shared" si="10"/>
        <v>-0.27016129032254499</v>
      </c>
      <c r="I46" s="141">
        <f t="shared" si="4"/>
        <v>4.3548387096772334E-3</v>
      </c>
      <c r="J46" s="141">
        <f t="shared" si="11"/>
        <v>97310.079999999987</v>
      </c>
      <c r="K46" s="141">
        <f t="shared" si="12"/>
        <v>96770.920000000158</v>
      </c>
    </row>
    <row r="47" spans="1:11">
      <c r="A47" s="142">
        <v>44012</v>
      </c>
      <c r="B47" s="141">
        <v>17.603333333333286</v>
      </c>
      <c r="C47" s="141">
        <v>16</v>
      </c>
      <c r="D47" s="141">
        <v>91</v>
      </c>
      <c r="E47" s="152">
        <f t="shared" si="7"/>
        <v>0.94665277777777757</v>
      </c>
      <c r="F47" s="141">
        <f t="shared" si="8"/>
        <v>0.88</v>
      </c>
      <c r="G47" s="141">
        <f t="shared" si="9"/>
        <v>0.88</v>
      </c>
      <c r="H47" s="141">
        <f t="shared" si="10"/>
        <v>6.6652777777777561E-2</v>
      </c>
      <c r="I47" s="141">
        <f t="shared" si="4"/>
        <v>6.6652777777777561E-2</v>
      </c>
      <c r="J47" s="141">
        <f t="shared" si="11"/>
        <v>97991.669999999984</v>
      </c>
      <c r="K47" s="141">
        <f t="shared" si="12"/>
        <v>97404.520000000164</v>
      </c>
    </row>
    <row r="48" spans="1:11">
      <c r="A48" s="142">
        <v>44043</v>
      </c>
      <c r="B48" s="141">
        <v>19.422580645161478</v>
      </c>
      <c r="C48" s="141">
        <v>19</v>
      </c>
      <c r="D48" s="141">
        <v>69</v>
      </c>
      <c r="E48" s="152">
        <f t="shared" si="7"/>
        <v>0.6946370967741935</v>
      </c>
      <c r="F48" s="141">
        <f t="shared" si="8"/>
        <v>0.88</v>
      </c>
      <c r="G48" s="141">
        <f t="shared" si="9"/>
        <v>0.88</v>
      </c>
      <c r="H48" s="141">
        <f t="shared" si="10"/>
        <v>-0.18536290322580651</v>
      </c>
      <c r="I48" s="141">
        <f t="shared" si="4"/>
        <v>-0.18536290322580651</v>
      </c>
      <c r="J48" s="141">
        <f t="shared" si="11"/>
        <v>98508.479999999981</v>
      </c>
      <c r="K48" s="141">
        <f t="shared" si="12"/>
        <v>98059.240000000165</v>
      </c>
    </row>
    <row r="49" spans="1:11">
      <c r="A49" s="142">
        <v>44074</v>
      </c>
      <c r="B49" s="141">
        <v>20.44838709677424</v>
      </c>
      <c r="C49" s="141">
        <v>21</v>
      </c>
      <c r="D49" s="141">
        <v>65</v>
      </c>
      <c r="E49" s="152">
        <f t="shared" si="7"/>
        <v>0.65436827956989241</v>
      </c>
      <c r="F49" s="141">
        <f t="shared" si="8"/>
        <v>0.88</v>
      </c>
      <c r="G49" s="141">
        <f t="shared" si="9"/>
        <v>0.88</v>
      </c>
      <c r="H49" s="141">
        <f t="shared" si="10"/>
        <v>-0.2256317204301076</v>
      </c>
      <c r="I49" s="141">
        <f t="shared" si="4"/>
        <v>-0.2256317204301076</v>
      </c>
      <c r="J49" s="141">
        <f t="shared" si="11"/>
        <v>98995.329999999987</v>
      </c>
      <c r="K49" s="141">
        <f t="shared" si="12"/>
        <v>98713.960000000166</v>
      </c>
    </row>
    <row r="50" spans="1:11">
      <c r="A50" s="142">
        <v>44104</v>
      </c>
      <c r="B50" s="141">
        <v>15.749999999999757</v>
      </c>
      <c r="C50" s="141">
        <v>15</v>
      </c>
      <c r="D50" s="141">
        <v>107</v>
      </c>
      <c r="E50" s="152">
        <f t="shared" si="7"/>
        <v>1.113097222222222</v>
      </c>
      <c r="F50" s="141">
        <f t="shared" si="8"/>
        <v>0.88</v>
      </c>
      <c r="G50" s="141">
        <f t="shared" si="9"/>
        <v>0.88</v>
      </c>
      <c r="H50" s="141">
        <f t="shared" si="10"/>
        <v>0.23309722222222196</v>
      </c>
      <c r="I50" s="141">
        <f t="shared" si="4"/>
        <v>0.23309722222222196</v>
      </c>
      <c r="J50" s="141">
        <f t="shared" si="11"/>
        <v>99796.75999999998</v>
      </c>
      <c r="K50" s="141">
        <f t="shared" si="12"/>
        <v>99347.560000000172</v>
      </c>
    </row>
    <row r="51" spans="1:11">
      <c r="A51" s="142">
        <v>44135</v>
      </c>
      <c r="B51" s="141">
        <v>10.274193548387096</v>
      </c>
      <c r="C51" s="141">
        <v>10</v>
      </c>
      <c r="D51" s="141">
        <v>310</v>
      </c>
      <c r="E51" s="152">
        <f t="shared" si="7"/>
        <v>3.1208333333333331</v>
      </c>
      <c r="F51" s="141">
        <f t="shared" si="8"/>
        <v>2.6915591397849465</v>
      </c>
      <c r="G51" s="141">
        <f t="shared" si="9"/>
        <v>2.7966666666666669</v>
      </c>
      <c r="H51" s="141">
        <f t="shared" si="10"/>
        <v>0.42927419354838658</v>
      </c>
      <c r="I51" s="141">
        <f t="shared" si="4"/>
        <v>0.32416666666666627</v>
      </c>
      <c r="J51" s="141">
        <f t="shared" si="11"/>
        <v>102118.65999999997</v>
      </c>
      <c r="K51" s="141">
        <f t="shared" si="12"/>
        <v>101350.08000000018</v>
      </c>
    </row>
    <row r="52" spans="1:11">
      <c r="A52" s="142">
        <v>44165</v>
      </c>
      <c r="B52" s="141">
        <v>4.8533333333335271</v>
      </c>
      <c r="C52" s="141">
        <v>5</v>
      </c>
      <c r="D52" s="141">
        <v>469</v>
      </c>
      <c r="E52" s="152">
        <f t="shared" si="7"/>
        <v>4.8789027777777774</v>
      </c>
      <c r="F52" s="141">
        <f t="shared" si="8"/>
        <v>4.7695555555554812</v>
      </c>
      <c r="G52" s="141">
        <f t="shared" si="9"/>
        <v>4.7133333333333338</v>
      </c>
      <c r="H52" s="141">
        <f t="shared" si="10"/>
        <v>0.1093472222222962</v>
      </c>
      <c r="I52" s="141">
        <f t="shared" si="4"/>
        <v>0.16556944444444355</v>
      </c>
      <c r="J52" s="141">
        <f t="shared" si="11"/>
        <v>105631.46999999997</v>
      </c>
      <c r="K52" s="141">
        <f t="shared" si="12"/>
        <v>104784.16000000012</v>
      </c>
    </row>
    <row r="53" spans="1:11">
      <c r="A53" s="142">
        <v>44196</v>
      </c>
      <c r="B53" s="141">
        <v>2.922580645161478</v>
      </c>
      <c r="C53" s="141">
        <v>3</v>
      </c>
      <c r="D53" s="141">
        <v>562</v>
      </c>
      <c r="E53" s="152">
        <f t="shared" si="7"/>
        <v>5.6577688172043006</v>
      </c>
      <c r="F53" s="141">
        <f t="shared" si="8"/>
        <v>5.5096774193547668</v>
      </c>
      <c r="G53" s="141">
        <f t="shared" si="9"/>
        <v>5.4799999999999995</v>
      </c>
      <c r="H53" s="141">
        <f t="shared" si="10"/>
        <v>0.14809139784953373</v>
      </c>
      <c r="I53" s="141">
        <f t="shared" si="4"/>
        <v>0.17776881720430104</v>
      </c>
      <c r="J53" s="141">
        <f t="shared" si="11"/>
        <v>109840.84999999998</v>
      </c>
      <c r="K53" s="141">
        <f t="shared" si="12"/>
        <v>108883.36000000007</v>
      </c>
    </row>
    <row r="54" spans="1:11">
      <c r="A54" s="142">
        <v>44227</v>
      </c>
      <c r="B54" s="141">
        <v>9.0322580645020467E-2</v>
      </c>
      <c r="C54" s="141">
        <v>0</v>
      </c>
      <c r="D54" s="141">
        <v>635</v>
      </c>
      <c r="E54" s="152">
        <f t="shared" si="7"/>
        <v>6.3926747311827956</v>
      </c>
      <c r="F54" s="141">
        <f t="shared" si="8"/>
        <v>6.595376344086076</v>
      </c>
      <c r="G54" s="141">
        <f t="shared" si="9"/>
        <v>6.63</v>
      </c>
      <c r="H54" s="141">
        <f t="shared" si="10"/>
        <v>-0.20270161290328037</v>
      </c>
      <c r="I54" s="141">
        <f t="shared" si="4"/>
        <v>-0.23732526881720428</v>
      </c>
      <c r="J54" s="141">
        <f t="shared" si="11"/>
        <v>114596.99999999997</v>
      </c>
      <c r="K54" s="141">
        <f t="shared" si="12"/>
        <v>113790.32000000011</v>
      </c>
    </row>
    <row r="55" spans="1:11">
      <c r="A55" s="142">
        <v>44255</v>
      </c>
      <c r="B55" s="141">
        <v>-0.66428571428579219</v>
      </c>
      <c r="C55" s="141">
        <v>-2</v>
      </c>
      <c r="D55" s="141">
        <v>592</v>
      </c>
      <c r="E55" s="152">
        <f t="shared" si="7"/>
        <v>6.5983333333333327</v>
      </c>
      <c r="F55" s="141">
        <f t="shared" si="8"/>
        <v>6.8846428571428868</v>
      </c>
      <c r="G55" s="141">
        <f t="shared" si="9"/>
        <v>7.3966666666666665</v>
      </c>
      <c r="H55" s="141">
        <f t="shared" si="10"/>
        <v>-0.2863095238095541</v>
      </c>
      <c r="I55" s="141">
        <f t="shared" si="4"/>
        <v>-0.79833333333333378</v>
      </c>
      <c r="J55" s="141">
        <f t="shared" si="11"/>
        <v>119031.07999999997</v>
      </c>
      <c r="K55" s="141">
        <f t="shared" si="12"/>
        <v>118416.80000000013</v>
      </c>
    </row>
    <row r="56" spans="1:11">
      <c r="A56" s="142">
        <v>44286</v>
      </c>
      <c r="B56" s="141">
        <v>4.2129032258067571</v>
      </c>
      <c r="C56" s="141">
        <v>4</v>
      </c>
      <c r="D56" s="141">
        <v>475</v>
      </c>
      <c r="E56" s="152">
        <f t="shared" si="7"/>
        <v>4.7819220430107521</v>
      </c>
      <c r="F56" s="141">
        <f t="shared" si="8"/>
        <v>5.0150537634407426</v>
      </c>
      <c r="G56" s="141">
        <f t="shared" si="9"/>
        <v>5.0966666666666667</v>
      </c>
      <c r="H56" s="141">
        <f t="shared" si="10"/>
        <v>-0.23313172042999053</v>
      </c>
      <c r="I56" s="141">
        <f t="shared" si="4"/>
        <v>-0.3147446236559146</v>
      </c>
      <c r="J56" s="141">
        <f t="shared" si="11"/>
        <v>122588.82999999997</v>
      </c>
      <c r="K56" s="141">
        <f t="shared" si="12"/>
        <v>122148.00000000004</v>
      </c>
    </row>
    <row r="57" spans="1:11">
      <c r="A57" s="142">
        <v>44316</v>
      </c>
      <c r="B57" s="141">
        <v>6.6066666666668121</v>
      </c>
      <c r="C57" s="144">
        <v>2</v>
      </c>
      <c r="D57" s="141">
        <v>366</v>
      </c>
      <c r="E57" s="152">
        <f t="shared" si="7"/>
        <v>3.8074166666666658</v>
      </c>
      <c r="F57" s="141">
        <f t="shared" si="8"/>
        <v>4.0974444444443892</v>
      </c>
      <c r="G57" s="141">
        <f t="shared" si="9"/>
        <v>5.8633333333333333</v>
      </c>
      <c r="H57" s="141">
        <f t="shared" si="10"/>
        <v>-0.29002777777772337</v>
      </c>
      <c r="I57" s="141">
        <f t="shared" si="4"/>
        <v>-2.0559166666666675</v>
      </c>
      <c r="J57" s="141">
        <f t="shared" si="11"/>
        <v>125330.16999999997</v>
      </c>
      <c r="K57" s="141">
        <f t="shared" si="12"/>
        <v>125098.16</v>
      </c>
    </row>
    <row r="58" spans="1:11">
      <c r="A58" s="142">
        <v>44347</v>
      </c>
      <c r="B58" s="141">
        <v>11.622580645161385</v>
      </c>
      <c r="C58" s="141">
        <v>13</v>
      </c>
      <c r="D58" s="141">
        <v>220</v>
      </c>
      <c r="E58" s="152">
        <f t="shared" si="7"/>
        <v>2.2147849462365592</v>
      </c>
      <c r="F58" s="141">
        <f t="shared" si="8"/>
        <v>2.1746774193548024</v>
      </c>
      <c r="G58" s="141">
        <f t="shared" si="9"/>
        <v>1.6466666666666667</v>
      </c>
      <c r="H58" s="141">
        <f t="shared" si="10"/>
        <v>4.0107526881756783E-2</v>
      </c>
      <c r="I58" s="141">
        <f t="shared" si="4"/>
        <v>0.56811827956989247</v>
      </c>
      <c r="J58" s="141">
        <f t="shared" si="11"/>
        <v>126977.96999999997</v>
      </c>
      <c r="K58" s="141">
        <f t="shared" si="12"/>
        <v>126716.11999999998</v>
      </c>
    </row>
    <row r="59" spans="1:11">
      <c r="A59" s="142">
        <v>44377</v>
      </c>
      <c r="B59" s="141">
        <v>19.990000000000023</v>
      </c>
      <c r="C59" s="141">
        <v>20</v>
      </c>
      <c r="D59" s="141">
        <v>82</v>
      </c>
      <c r="E59" s="152">
        <f t="shared" si="7"/>
        <v>0.85302777777777772</v>
      </c>
      <c r="F59" s="141">
        <f t="shared" si="8"/>
        <v>0.88</v>
      </c>
      <c r="G59" s="141">
        <f t="shared" si="9"/>
        <v>0.88</v>
      </c>
      <c r="H59" s="141">
        <f t="shared" si="10"/>
        <v>-2.6972222222222286E-2</v>
      </c>
      <c r="I59" s="141">
        <f t="shared" si="4"/>
        <v>-2.6972222222222286E-2</v>
      </c>
      <c r="J59" s="141">
        <f t="shared" si="11"/>
        <v>127592.14999999997</v>
      </c>
      <c r="K59" s="141">
        <f t="shared" si="12"/>
        <v>127349.71999999999</v>
      </c>
    </row>
    <row r="60" spans="1:11">
      <c r="A60" s="142">
        <v>44408</v>
      </c>
      <c r="B60" s="141">
        <v>19.780645161290344</v>
      </c>
      <c r="C60" s="141">
        <v>19</v>
      </c>
      <c r="D60" s="141">
        <v>86</v>
      </c>
      <c r="E60" s="152">
        <f t="shared" si="7"/>
        <v>0.86577956989247296</v>
      </c>
      <c r="F60" s="141">
        <f t="shared" si="8"/>
        <v>0.88</v>
      </c>
      <c r="G60" s="141">
        <f t="shared" si="9"/>
        <v>0.88</v>
      </c>
      <c r="H60" s="141">
        <f t="shared" si="10"/>
        <v>-1.4220430107527049E-2</v>
      </c>
      <c r="I60" s="141">
        <f t="shared" si="4"/>
        <v>-1.4220430107527049E-2</v>
      </c>
      <c r="J60" s="141">
        <f t="shared" si="11"/>
        <v>128236.28999999996</v>
      </c>
      <c r="K60" s="141">
        <f t="shared" si="12"/>
        <v>128004.43999999999</v>
      </c>
    </row>
    <row r="61" spans="1:11">
      <c r="A61" s="142">
        <v>44439</v>
      </c>
      <c r="B61" s="141">
        <v>17.383870967742101</v>
      </c>
      <c r="C61" s="141">
        <v>17</v>
      </c>
      <c r="D61" s="141">
        <v>95</v>
      </c>
      <c r="E61" s="152">
        <f t="shared" si="7"/>
        <v>0.95638440860215046</v>
      </c>
      <c r="F61" s="141">
        <f t="shared" si="8"/>
        <v>0.88</v>
      </c>
      <c r="G61" s="141">
        <f t="shared" si="9"/>
        <v>0.88</v>
      </c>
      <c r="H61" s="141">
        <f t="shared" si="10"/>
        <v>7.6384408602150455E-2</v>
      </c>
      <c r="I61" s="141">
        <f t="shared" si="4"/>
        <v>7.6384408602150455E-2</v>
      </c>
      <c r="J61" s="141">
        <f t="shared" si="11"/>
        <v>128947.83999999997</v>
      </c>
      <c r="K61" s="141">
        <f t="shared" si="12"/>
        <v>128659.15999999999</v>
      </c>
    </row>
    <row r="62" spans="1:11">
      <c r="A62" s="142">
        <v>44469</v>
      </c>
      <c r="B62" s="141">
        <v>16.033333333333577</v>
      </c>
      <c r="C62" s="141">
        <v>16</v>
      </c>
      <c r="D62" s="141">
        <v>110</v>
      </c>
      <c r="E62" s="152">
        <f t="shared" si="7"/>
        <v>1.1443055555555555</v>
      </c>
      <c r="F62" s="141">
        <f t="shared" si="8"/>
        <v>0.88</v>
      </c>
      <c r="G62" s="141">
        <f t="shared" si="9"/>
        <v>0.88</v>
      </c>
      <c r="H62" s="141">
        <f t="shared" si="10"/>
        <v>0.26430555555555546</v>
      </c>
      <c r="I62" s="141">
        <f t="shared" si="4"/>
        <v>0.26430555555555546</v>
      </c>
      <c r="J62" s="141">
        <f t="shared" si="11"/>
        <v>129771.73999999996</v>
      </c>
      <c r="K62" s="141">
        <f t="shared" si="12"/>
        <v>129292.76</v>
      </c>
    </row>
    <row r="63" spans="1:11">
      <c r="A63" s="142">
        <v>44500</v>
      </c>
      <c r="B63" s="141">
        <v>9.1612903225809976</v>
      </c>
      <c r="C63" s="141">
        <v>8</v>
      </c>
      <c r="D63" s="141">
        <v>356</v>
      </c>
      <c r="E63" s="152">
        <f t="shared" si="7"/>
        <v>3.5839247311827958</v>
      </c>
      <c r="F63" s="141">
        <f t="shared" si="8"/>
        <v>3.1181720430106172</v>
      </c>
      <c r="G63" s="141">
        <f t="shared" si="9"/>
        <v>3.563333333333333</v>
      </c>
      <c r="H63" s="141">
        <f t="shared" si="10"/>
        <v>0.46575268817217852</v>
      </c>
      <c r="I63" s="141">
        <f t="shared" si="4"/>
        <v>2.0591397849462734E-2</v>
      </c>
      <c r="J63" s="141">
        <f t="shared" si="11"/>
        <v>132438.17999999996</v>
      </c>
      <c r="K63" s="141">
        <f t="shared" si="12"/>
        <v>131612.67999999991</v>
      </c>
    </row>
    <row r="64" spans="1:11">
      <c r="A64" s="142">
        <v>44530</v>
      </c>
      <c r="B64" s="141">
        <v>4.6599999999997328</v>
      </c>
      <c r="C64" s="141">
        <v>5</v>
      </c>
      <c r="D64" s="141">
        <v>478</v>
      </c>
      <c r="E64" s="152">
        <f t="shared" si="7"/>
        <v>4.9725277777777768</v>
      </c>
      <c r="F64" s="141">
        <f t="shared" si="8"/>
        <v>4.8436666666667687</v>
      </c>
      <c r="G64" s="141">
        <f t="shared" si="9"/>
        <v>4.7133333333333338</v>
      </c>
      <c r="H64" s="141">
        <f t="shared" si="10"/>
        <v>0.12886111111100806</v>
      </c>
      <c r="I64" s="141">
        <f t="shared" si="4"/>
        <v>0.25919444444444295</v>
      </c>
      <c r="J64" s="141">
        <f t="shared" si="11"/>
        <v>136018.39999999997</v>
      </c>
      <c r="K64" s="141">
        <f t="shared" si="12"/>
        <v>135100.11999999997</v>
      </c>
    </row>
    <row r="65" spans="1:11">
      <c r="A65" s="142">
        <v>44561</v>
      </c>
      <c r="B65" s="141">
        <v>1.8096774193551439</v>
      </c>
      <c r="C65" s="141">
        <v>2</v>
      </c>
      <c r="D65" s="141">
        <v>574</v>
      </c>
      <c r="E65" s="152">
        <f t="shared" si="7"/>
        <v>5.7785752688172032</v>
      </c>
      <c r="F65" s="141">
        <f t="shared" si="8"/>
        <v>5.9362903225805281</v>
      </c>
      <c r="G65" s="141">
        <f t="shared" si="9"/>
        <v>5.8633333333333333</v>
      </c>
      <c r="H65" s="141">
        <f t="shared" si="10"/>
        <v>-0.15771505376332495</v>
      </c>
      <c r="I65" s="141">
        <f t="shared" si="4"/>
        <v>-8.4758064516130105E-2</v>
      </c>
      <c r="J65" s="141">
        <f t="shared" si="11"/>
        <v>140317.65999999997</v>
      </c>
      <c r="K65" s="141">
        <f t="shared" si="12"/>
        <v>139516.71999999988</v>
      </c>
    </row>
  </sheetData>
  <hyperlinks>
    <hyperlink ref="L3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R63"/>
  <sheetViews>
    <sheetView workbookViewId="0">
      <selection activeCell="A2" sqref="A2"/>
    </sheetView>
  </sheetViews>
  <sheetFormatPr defaultColWidth="8.42578125" defaultRowHeight="15"/>
  <cols>
    <col min="1" max="1" width="15.5703125" style="12" customWidth="1"/>
    <col min="2" max="4" width="8.42578125" style="11"/>
    <col min="5" max="5" width="8.42578125" style="13"/>
    <col min="6" max="16384" width="8.42578125" style="11"/>
  </cols>
  <sheetData>
    <row r="1" spans="1:18" s="33" customFormat="1">
      <c r="A1" s="12" t="s">
        <v>1541</v>
      </c>
      <c r="B1" s="33">
        <f>B17</f>
        <v>1037.6199999999999</v>
      </c>
      <c r="E1" s="30"/>
      <c r="I1" s="33" t="s">
        <v>97</v>
      </c>
      <c r="J1" s="33" t="s">
        <v>95</v>
      </c>
      <c r="M1" s="27" t="s">
        <v>18</v>
      </c>
    </row>
    <row r="2" spans="1:18">
      <c r="B2" s="11">
        <f>B24</f>
        <v>2535.0050000000001</v>
      </c>
      <c r="C2" s="11">
        <f>B2-B1</f>
        <v>1497.3850000000002</v>
      </c>
      <c r="F2" s="2">
        <v>0.8</v>
      </c>
      <c r="G2" s="11" t="s">
        <v>8</v>
      </c>
      <c r="H2" s="33" t="s">
        <v>29</v>
      </c>
      <c r="I2" s="11">
        <f>C2*0.96*10.7-F$2*365*24</f>
        <v>8373.1387200000008</v>
      </c>
      <c r="J2" s="11">
        <f>I2/24/F$3</f>
        <v>89.456610256410258</v>
      </c>
      <c r="M2" s="27" t="s">
        <v>16</v>
      </c>
    </row>
    <row r="3" spans="1:18">
      <c r="B3" s="11">
        <f>B31</f>
        <v>4077.6590000000001</v>
      </c>
      <c r="C3" s="33">
        <f>B3-B2</f>
        <v>1542.654</v>
      </c>
      <c r="F3" s="3">
        <v>3.9</v>
      </c>
      <c r="G3" s="11" t="s">
        <v>5</v>
      </c>
      <c r="H3" s="33" t="s">
        <v>30</v>
      </c>
      <c r="I3" s="33">
        <f>C3*0.96*10.7-F$2*365*24</f>
        <v>8838.1418880000001</v>
      </c>
      <c r="J3" s="33">
        <f>I3/24/F$3</f>
        <v>94.424592820512828</v>
      </c>
      <c r="M3" s="30">
        <f>(B46-B6)/(A46-A6)</f>
        <v>3.9075132935589867</v>
      </c>
      <c r="N3" s="109" t="s">
        <v>350</v>
      </c>
      <c r="O3" s="109" t="s">
        <v>351</v>
      </c>
      <c r="P3" s="109" t="s">
        <v>352</v>
      </c>
    </row>
    <row r="4" spans="1:18">
      <c r="B4" s="11">
        <f>B37</f>
        <v>5721.375</v>
      </c>
      <c r="C4" s="33">
        <f>B4-B3</f>
        <v>1643.7159999999999</v>
      </c>
      <c r="E4" s="31">
        <v>0.96</v>
      </c>
      <c r="F4" s="3">
        <v>19</v>
      </c>
      <c r="G4" s="11" t="s">
        <v>6</v>
      </c>
      <c r="H4" s="33" t="s">
        <v>31</v>
      </c>
      <c r="I4" s="33">
        <f>C4*0.96*10.7-F$2*365*24</f>
        <v>9876.2507519999963</v>
      </c>
      <c r="J4" s="33">
        <f>I4/24/F$3</f>
        <v>105.51549948717944</v>
      </c>
      <c r="M4" s="11">
        <f>365*M3</f>
        <v>1426.2423521490302</v>
      </c>
      <c r="N4" s="109" t="s">
        <v>35</v>
      </c>
      <c r="O4" s="11">
        <f>M4*10.7</f>
        <v>15260.793167994623</v>
      </c>
      <c r="P4" s="11">
        <f>M4*10.7*2.2</f>
        <v>33573.744969588173</v>
      </c>
      <c r="Q4" s="11">
        <f>P4-O4</f>
        <v>18312.95180159355</v>
      </c>
      <c r="R4" s="109" t="s">
        <v>353</v>
      </c>
    </row>
    <row r="5" spans="1:18">
      <c r="A5" s="12" t="s">
        <v>11</v>
      </c>
      <c r="B5" s="11" t="s">
        <v>13</v>
      </c>
      <c r="C5" s="11" t="s">
        <v>14</v>
      </c>
      <c r="D5" s="11" t="s">
        <v>12</v>
      </c>
      <c r="E5" s="13" t="s">
        <v>1</v>
      </c>
      <c r="F5" s="11" t="s">
        <v>2</v>
      </c>
    </row>
    <row r="6" spans="1:18">
      <c r="A6" s="21">
        <v>41968.840277777781</v>
      </c>
      <c r="B6" s="22">
        <v>139.12</v>
      </c>
      <c r="F6" s="11">
        <f>F$2+(IF(F$4-$C6&gt;0,F$4-$C6,0)*F$3/30)</f>
        <v>3.2699999999999996</v>
      </c>
    </row>
    <row r="7" spans="1:18">
      <c r="A7" s="21">
        <v>41970.740972222222</v>
      </c>
      <c r="B7" s="22">
        <v>149.078</v>
      </c>
      <c r="D7" s="11">
        <f>C7</f>
        <v>0</v>
      </c>
      <c r="E7" s="13">
        <f>(B7-B6)*10.7/(A7-A6)/24*E$4</f>
        <v>2.2423509536030268</v>
      </c>
      <c r="F7" s="11">
        <f t="shared" ref="F7:F41" si="0">F$2+(IF(F$4-$C7&gt;0,F$4-$C7,0)*F$3/30)</f>
        <v>3.2699999999999996</v>
      </c>
    </row>
    <row r="8" spans="1:18">
      <c r="A8" s="21">
        <v>41999.756944444445</v>
      </c>
      <c r="B8" s="22">
        <v>298.05799999999999</v>
      </c>
      <c r="D8" s="11">
        <f t="shared" ref="D8:D41" si="1">C8</f>
        <v>0</v>
      </c>
      <c r="E8" s="30">
        <f t="shared" ref="E8:E46" si="2">(B8-B7)*10.7/(A8-A7)/24*E$4</f>
        <v>2.1975289854724744</v>
      </c>
      <c r="F8" s="11">
        <f t="shared" si="0"/>
        <v>3.2699999999999996</v>
      </c>
    </row>
    <row r="9" spans="1:18">
      <c r="A9" s="21">
        <v>42000.642361111109</v>
      </c>
      <c r="B9" s="22">
        <v>302.18599999999998</v>
      </c>
      <c r="D9" s="11">
        <f t="shared" si="1"/>
        <v>0</v>
      </c>
      <c r="E9" s="30">
        <f t="shared" si="2"/>
        <v>1.9954266352995766</v>
      </c>
      <c r="F9" s="11">
        <f t="shared" si="0"/>
        <v>3.2699999999999996</v>
      </c>
    </row>
    <row r="10" spans="1:18">
      <c r="A10" s="21">
        <v>42020.75</v>
      </c>
      <c r="B10" s="22">
        <v>420.90499999999997</v>
      </c>
      <c r="D10" s="11">
        <f t="shared" si="1"/>
        <v>0</v>
      </c>
      <c r="E10" s="30">
        <f t="shared" si="2"/>
        <v>2.5269864990500466</v>
      </c>
      <c r="F10" s="11">
        <f t="shared" si="0"/>
        <v>3.2699999999999996</v>
      </c>
    </row>
    <row r="11" spans="1:18">
      <c r="A11" s="21">
        <v>42024.5625</v>
      </c>
      <c r="B11" s="22">
        <v>441.28199999999998</v>
      </c>
      <c r="D11" s="11">
        <f t="shared" si="1"/>
        <v>0</v>
      </c>
      <c r="E11" s="30">
        <f t="shared" si="2"/>
        <v>2.2875687868852466</v>
      </c>
      <c r="F11" s="11">
        <f t="shared" si="0"/>
        <v>3.2699999999999996</v>
      </c>
    </row>
    <row r="12" spans="1:18">
      <c r="A12" s="21">
        <v>42030.493055555555</v>
      </c>
      <c r="B12" s="22">
        <v>475.39299999999997</v>
      </c>
      <c r="D12" s="11">
        <f t="shared" si="1"/>
        <v>0</v>
      </c>
      <c r="E12" s="30">
        <f t="shared" si="2"/>
        <v>2.4617437377052522</v>
      </c>
      <c r="F12" s="11">
        <f t="shared" si="0"/>
        <v>3.2699999999999996</v>
      </c>
    </row>
    <row r="13" spans="1:18">
      <c r="A13" s="21">
        <v>42053.833333333336</v>
      </c>
      <c r="B13" s="22">
        <v>627.79</v>
      </c>
      <c r="D13" s="11">
        <f t="shared" si="1"/>
        <v>0</v>
      </c>
      <c r="E13" s="30">
        <f t="shared" si="2"/>
        <v>2.7945646843197549</v>
      </c>
      <c r="F13" s="11">
        <f t="shared" si="0"/>
        <v>3.2699999999999996</v>
      </c>
    </row>
    <row r="14" spans="1:18">
      <c r="A14" s="21">
        <v>42053.916666666664</v>
      </c>
      <c r="B14" s="22">
        <v>628.85</v>
      </c>
      <c r="D14" s="11">
        <f t="shared" si="1"/>
        <v>0</v>
      </c>
      <c r="E14" s="30">
        <f t="shared" si="2"/>
        <v>5.4441600003171953</v>
      </c>
      <c r="F14" s="11">
        <f t="shared" si="0"/>
        <v>3.2699999999999996</v>
      </c>
    </row>
    <row r="15" spans="1:18">
      <c r="A15" s="21">
        <v>42071.493055555555</v>
      </c>
      <c r="B15" s="22">
        <v>724.83699999999999</v>
      </c>
      <c r="D15" s="11">
        <f t="shared" si="1"/>
        <v>0</v>
      </c>
      <c r="E15" s="30">
        <f t="shared" si="2"/>
        <v>2.3373649877516609</v>
      </c>
      <c r="F15" s="11">
        <f t="shared" si="0"/>
        <v>3.2699999999999996</v>
      </c>
    </row>
    <row r="16" spans="1:18">
      <c r="A16" s="21">
        <v>42072.815972222219</v>
      </c>
      <c r="B16" s="22">
        <v>730.40200000000004</v>
      </c>
      <c r="D16" s="11">
        <f t="shared" si="1"/>
        <v>0</v>
      </c>
      <c r="E16" s="30">
        <f t="shared" si="2"/>
        <v>1.8004308661450503</v>
      </c>
      <c r="F16" s="11">
        <f t="shared" si="0"/>
        <v>3.2699999999999996</v>
      </c>
    </row>
    <row r="17" spans="1:6">
      <c r="A17" s="21">
        <v>42192.010416666664</v>
      </c>
      <c r="B17" s="24">
        <v>1037.6199999999999</v>
      </c>
      <c r="D17" s="11">
        <f t="shared" si="1"/>
        <v>0</v>
      </c>
      <c r="E17" s="30">
        <f t="shared" si="2"/>
        <v>1.1031496024236693</v>
      </c>
      <c r="F17" s="11">
        <f t="shared" si="0"/>
        <v>3.2699999999999996</v>
      </c>
    </row>
    <row r="18" spans="1:6">
      <c r="A18" s="21">
        <v>42198.701388888891</v>
      </c>
      <c r="B18" s="24">
        <v>1041.6600000000001</v>
      </c>
      <c r="C18" s="27">
        <v>16.410171250638758</v>
      </c>
      <c r="D18" s="11">
        <f t="shared" si="1"/>
        <v>16.410171250638758</v>
      </c>
      <c r="E18" s="30">
        <f t="shared" si="2"/>
        <v>0.2584258225219111</v>
      </c>
      <c r="F18" s="11">
        <f t="shared" si="0"/>
        <v>1.1366777374169614</v>
      </c>
    </row>
    <row r="19" spans="1:6">
      <c r="A19" s="21">
        <v>42293.770138888889</v>
      </c>
      <c r="B19" s="24">
        <v>1140.154</v>
      </c>
      <c r="C19" s="27">
        <v>17.519952665834218</v>
      </c>
      <c r="D19" s="11">
        <f t="shared" si="1"/>
        <v>17.519952665834218</v>
      </c>
      <c r="E19" s="30">
        <f t="shared" si="2"/>
        <v>0.44342049306423625</v>
      </c>
      <c r="F19" s="11">
        <f t="shared" si="0"/>
        <v>0.9924061534415517</v>
      </c>
    </row>
    <row r="20" spans="1:6">
      <c r="A20" s="21">
        <v>42327.395833333336</v>
      </c>
      <c r="B20" s="24">
        <v>1258.9690000000001</v>
      </c>
      <c r="C20" s="27">
        <v>8.8563226699153148</v>
      </c>
      <c r="D20" s="11">
        <f t="shared" si="1"/>
        <v>8.8563226699153148</v>
      </c>
      <c r="E20" s="30">
        <f t="shared" si="2"/>
        <v>1.5123202907828235</v>
      </c>
      <c r="F20" s="11">
        <f t="shared" si="0"/>
        <v>2.118678052911009</v>
      </c>
    </row>
    <row r="21" spans="1:6">
      <c r="A21" s="21">
        <v>42355.708333333336</v>
      </c>
      <c r="B21" s="24">
        <v>1401.7</v>
      </c>
      <c r="C21" s="27">
        <v>3.7933774834436957</v>
      </c>
      <c r="D21" s="11">
        <f t="shared" si="1"/>
        <v>3.7933774834436957</v>
      </c>
      <c r="E21" s="30">
        <f t="shared" si="2"/>
        <v>2.1576642119205296</v>
      </c>
      <c r="F21" s="11">
        <f t="shared" si="0"/>
        <v>2.7768609271523195</v>
      </c>
    </row>
    <row r="22" spans="1:6">
      <c r="A22" s="21">
        <v>42389.958333333336</v>
      </c>
      <c r="B22" s="24">
        <v>1561.6120000000001</v>
      </c>
      <c r="C22" s="27">
        <v>1.1678832116788453</v>
      </c>
      <c r="D22" s="11">
        <f t="shared" si="1"/>
        <v>1.1678832116788453</v>
      </c>
      <c r="E22" s="30">
        <f t="shared" si="2"/>
        <v>1.998316379562044</v>
      </c>
      <c r="F22" s="11">
        <f t="shared" si="0"/>
        <v>3.1181751824817505</v>
      </c>
    </row>
    <row r="23" spans="1:6">
      <c r="A23" s="21">
        <v>42526.470833333333</v>
      </c>
      <c r="B23" s="24">
        <v>2258.86</v>
      </c>
      <c r="C23" s="27">
        <v>7.7670542990570235</v>
      </c>
      <c r="D23" s="11">
        <f t="shared" si="1"/>
        <v>7.7670542990570235</v>
      </c>
      <c r="E23" s="30">
        <f t="shared" si="2"/>
        <v>2.1860426261331845</v>
      </c>
      <c r="F23" s="11">
        <f t="shared" si="0"/>
        <v>2.2602829411225871</v>
      </c>
    </row>
    <row r="24" spans="1:6">
      <c r="A24" s="21">
        <v>42651.955555555556</v>
      </c>
      <c r="B24" s="24">
        <v>2535.0050000000001</v>
      </c>
      <c r="C24" s="27">
        <v>18.07869483890229</v>
      </c>
      <c r="D24" s="11">
        <f t="shared" si="1"/>
        <v>18.07869483890229</v>
      </c>
      <c r="E24" s="30">
        <f t="shared" si="2"/>
        <v>0.94186812471636894</v>
      </c>
      <c r="F24" s="11">
        <f t="shared" si="0"/>
        <v>0.91976967094270234</v>
      </c>
    </row>
    <row r="25" spans="1:6">
      <c r="A25" s="21">
        <v>42700.9375</v>
      </c>
      <c r="B25" s="25">
        <v>2825</v>
      </c>
      <c r="C25" s="27">
        <v>5.9593387586129198</v>
      </c>
      <c r="D25" s="11">
        <f t="shared" si="1"/>
        <v>5.9593387586129198</v>
      </c>
      <c r="E25" s="30">
        <f t="shared" si="2"/>
        <v>2.5339512632206072</v>
      </c>
      <c r="F25" s="11">
        <f t="shared" si="0"/>
        <v>2.4952859613803207</v>
      </c>
    </row>
    <row r="26" spans="1:6">
      <c r="A26" s="21">
        <v>42711.826388888891</v>
      </c>
      <c r="B26" s="25">
        <v>2913.89</v>
      </c>
      <c r="C26" s="27">
        <v>-0.67040816326513974</v>
      </c>
      <c r="D26" s="11">
        <f t="shared" si="1"/>
        <v>-0.67040816326513974</v>
      </c>
      <c r="E26" s="30">
        <f t="shared" si="2"/>
        <v>3.4939212244892719</v>
      </c>
      <c r="F26" s="11">
        <f t="shared" si="0"/>
        <v>3.3571530612244684</v>
      </c>
    </row>
    <row r="27" spans="1:6">
      <c r="A27" s="21">
        <v>42738.662499999999</v>
      </c>
      <c r="B27" s="25">
        <v>3084.85</v>
      </c>
      <c r="C27" s="27">
        <v>0.88313839147102435</v>
      </c>
      <c r="D27" s="11">
        <f t="shared" si="1"/>
        <v>0.88313839147102435</v>
      </c>
      <c r="E27" s="30">
        <f t="shared" si="2"/>
        <v>2.7265828382158177</v>
      </c>
      <c r="F27" s="11">
        <f t="shared" si="0"/>
        <v>3.1551920091087666</v>
      </c>
    </row>
    <row r="28" spans="1:6">
      <c r="A28" s="21">
        <v>42762.95416666667</v>
      </c>
      <c r="B28" s="25">
        <v>3245.5650000000001</v>
      </c>
      <c r="C28" s="27">
        <v>-4.4789022298447394</v>
      </c>
      <c r="D28" s="11">
        <f t="shared" si="1"/>
        <v>-4.4789022298447394</v>
      </c>
      <c r="E28" s="30">
        <f t="shared" si="2"/>
        <v>2.8316714922807402</v>
      </c>
      <c r="F28" s="11">
        <f t="shared" si="0"/>
        <v>3.852257289879816</v>
      </c>
    </row>
    <row r="29" spans="1:6">
      <c r="A29" s="21">
        <v>42801.708333333336</v>
      </c>
      <c r="B29" s="25">
        <v>3470</v>
      </c>
      <c r="C29" s="27">
        <v>1.8810880550478586</v>
      </c>
      <c r="D29" s="11">
        <f t="shared" si="1"/>
        <v>1.8810880550478586</v>
      </c>
      <c r="E29" s="30">
        <f t="shared" si="2"/>
        <v>2.4786542522310042</v>
      </c>
      <c r="F29" s="11">
        <f t="shared" si="0"/>
        <v>3.0254585528437783</v>
      </c>
    </row>
    <row r="30" spans="1:6">
      <c r="A30" s="23">
        <v>42833.958333333336</v>
      </c>
      <c r="B30" s="25">
        <v>3657.35</v>
      </c>
      <c r="C30" s="27">
        <v>8.1922480620155547</v>
      </c>
      <c r="D30" s="11">
        <f t="shared" si="1"/>
        <v>8.1922480620155547</v>
      </c>
      <c r="E30" s="30">
        <f t="shared" si="2"/>
        <v>2.4863813953488356</v>
      </c>
      <c r="F30" s="11">
        <f t="shared" si="0"/>
        <v>2.2050077519379778</v>
      </c>
    </row>
    <row r="31" spans="1:6">
      <c r="A31" s="23">
        <v>42950.625</v>
      </c>
      <c r="B31" s="25">
        <v>4077.6590000000001</v>
      </c>
      <c r="C31" s="27">
        <v>16.200000000000312</v>
      </c>
      <c r="D31" s="11">
        <f t="shared" si="1"/>
        <v>16.200000000000312</v>
      </c>
      <c r="E31" s="30">
        <f t="shared" si="2"/>
        <v>1.5419335885714613</v>
      </c>
      <c r="F31" s="11">
        <f t="shared" si="0"/>
        <v>1.1639999999999595</v>
      </c>
    </row>
    <row r="32" spans="1:6">
      <c r="A32" s="23">
        <v>43001.554166666669</v>
      </c>
      <c r="B32" s="25">
        <v>4213.134</v>
      </c>
      <c r="C32" s="27">
        <v>16.47778777714095</v>
      </c>
      <c r="D32" s="11">
        <f t="shared" si="1"/>
        <v>16.47778777714095</v>
      </c>
      <c r="E32" s="30">
        <f t="shared" si="2"/>
        <v>1.1385087130818505</v>
      </c>
      <c r="F32" s="11">
        <f t="shared" si="0"/>
        <v>1.1278875889716766</v>
      </c>
    </row>
    <row r="33" spans="1:6">
      <c r="A33" s="23">
        <v>43073.920138888891</v>
      </c>
      <c r="B33" s="25">
        <v>4549.6880000000001</v>
      </c>
      <c r="C33" s="27">
        <v>7.9512508756610245</v>
      </c>
      <c r="D33" s="11">
        <f t="shared" si="1"/>
        <v>7.9512508756610245</v>
      </c>
      <c r="E33" s="30">
        <f t="shared" si="2"/>
        <v>1.9905089032406742</v>
      </c>
      <c r="F33" s="11">
        <f t="shared" si="0"/>
        <v>2.2363373861640667</v>
      </c>
    </row>
    <row r="34" spans="1:6">
      <c r="A34" s="23">
        <v>43108.833333333336</v>
      </c>
      <c r="B34" s="25">
        <v>4781.6400000000003</v>
      </c>
      <c r="C34" s="27">
        <v>3.0590154152163751</v>
      </c>
      <c r="D34" s="11">
        <f t="shared" si="1"/>
        <v>3.0590154152163751</v>
      </c>
      <c r="E34" s="30">
        <f t="shared" si="2"/>
        <v>2.8434939162605035</v>
      </c>
      <c r="F34" s="11">
        <f t="shared" si="0"/>
        <v>2.8723279960218715</v>
      </c>
    </row>
    <row r="35" spans="1:6">
      <c r="A35" s="23">
        <v>43163.455555555556</v>
      </c>
      <c r="B35" s="25">
        <v>5194.07</v>
      </c>
      <c r="C35" s="27">
        <v>-0.39910496338493201</v>
      </c>
      <c r="D35" s="11">
        <f t="shared" si="1"/>
        <v>-0.39910496338493201</v>
      </c>
      <c r="E35" s="30">
        <f t="shared" si="2"/>
        <v>3.2316524816925329</v>
      </c>
      <c r="F35" s="11">
        <f t="shared" si="0"/>
        <v>3.3218836452400407</v>
      </c>
    </row>
    <row r="36" spans="1:6">
      <c r="A36" s="23">
        <v>43195.386805555558</v>
      </c>
      <c r="B36" s="25">
        <v>5450.1679999999997</v>
      </c>
      <c r="C36" s="27">
        <v>4.1526717557251267</v>
      </c>
      <c r="D36" s="11">
        <f t="shared" si="1"/>
        <v>4.1526717557251267</v>
      </c>
      <c r="E36" s="30">
        <f t="shared" si="2"/>
        <v>3.4326856605987857</v>
      </c>
      <c r="F36" s="11">
        <f t="shared" si="0"/>
        <v>2.7301526717557336</v>
      </c>
    </row>
    <row r="37" spans="1:6">
      <c r="A37" s="23">
        <v>43285.888888888891</v>
      </c>
      <c r="B37" s="25">
        <v>5721.375</v>
      </c>
      <c r="C37" s="27">
        <v>16.986349301351321</v>
      </c>
      <c r="D37" s="11">
        <f t="shared" si="1"/>
        <v>16.986349301351321</v>
      </c>
      <c r="E37" s="30">
        <f t="shared" si="2"/>
        <v>1.2825847950093312</v>
      </c>
      <c r="F37" s="11">
        <f t="shared" si="0"/>
        <v>1.0617745908243283</v>
      </c>
    </row>
    <row r="38" spans="1:6">
      <c r="A38" s="23">
        <v>43304.918055555558</v>
      </c>
      <c r="B38" s="25">
        <v>5760.0680000000002</v>
      </c>
      <c r="C38" s="27">
        <v>20.783884388000249</v>
      </c>
      <c r="D38" s="11">
        <f t="shared" si="1"/>
        <v>20.783884388000249</v>
      </c>
      <c r="E38" s="30">
        <f t="shared" si="2"/>
        <v>0.87027478870153718</v>
      </c>
      <c r="F38" s="11">
        <f t="shared" si="0"/>
        <v>0.8</v>
      </c>
    </row>
    <row r="39" spans="1:6">
      <c r="A39" s="23">
        <v>43372.461111111108</v>
      </c>
      <c r="B39" s="25">
        <v>5810.1279999999997</v>
      </c>
      <c r="C39" s="27">
        <v>20.122058823529454</v>
      </c>
      <c r="D39" s="11">
        <f t="shared" si="1"/>
        <v>20.122058823529454</v>
      </c>
      <c r="E39" s="30">
        <f t="shared" si="2"/>
        <v>0.31721514260453254</v>
      </c>
      <c r="F39" s="11">
        <f t="shared" si="0"/>
        <v>0.8</v>
      </c>
    </row>
    <row r="40" spans="1:6">
      <c r="A40" s="23">
        <v>43385.879166666666</v>
      </c>
      <c r="B40" s="25">
        <v>5849.2820000000002</v>
      </c>
      <c r="C40" s="11">
        <v>11.507692307692476</v>
      </c>
      <c r="D40" s="11">
        <f t="shared" si="1"/>
        <v>11.507692307692476</v>
      </c>
      <c r="E40" s="30">
        <f t="shared" si="2"/>
        <v>1.2489076327500515</v>
      </c>
      <c r="F40" s="11">
        <f t="shared" si="0"/>
        <v>1.7739999999999783</v>
      </c>
    </row>
    <row r="41" spans="1:6">
      <c r="A41" s="52">
        <v>43432.737500000003</v>
      </c>
      <c r="B41" s="51">
        <v>6055.4989999999998</v>
      </c>
      <c r="C41" s="11">
        <v>5.3936708860758387</v>
      </c>
      <c r="D41" s="11">
        <f t="shared" si="1"/>
        <v>5.3936708860758387</v>
      </c>
      <c r="E41" s="30">
        <f t="shared" si="2"/>
        <v>1.8835684012091596</v>
      </c>
      <c r="F41" s="11">
        <f t="shared" si="0"/>
        <v>2.5688227848101413</v>
      </c>
    </row>
    <row r="42" spans="1:6">
      <c r="A42" s="12">
        <v>43464.875</v>
      </c>
      <c r="B42" s="10">
        <v>6212.2730000000001</v>
      </c>
      <c r="E42" s="30">
        <f t="shared" si="2"/>
        <v>2.0878808868146628</v>
      </c>
    </row>
    <row r="43" spans="1:6">
      <c r="A43" s="50">
        <v>43500.821527777778</v>
      </c>
      <c r="B43" s="49">
        <v>6353.415</v>
      </c>
      <c r="E43" s="30">
        <f t="shared" si="2"/>
        <v>1.6805176948785638</v>
      </c>
    </row>
    <row r="44" spans="1:6">
      <c r="A44" s="50">
        <v>43519.472916666666</v>
      </c>
      <c r="B44" s="49">
        <v>6415.97</v>
      </c>
      <c r="E44" s="30">
        <f t="shared" si="2"/>
        <v>1.4354716509048642</v>
      </c>
    </row>
    <row r="45" spans="1:6">
      <c r="A45" s="50">
        <v>43537.772222222222</v>
      </c>
      <c r="B45" s="49">
        <v>6521.45</v>
      </c>
      <c r="E45" s="30">
        <f t="shared" si="2"/>
        <v>2.4670575537929271</v>
      </c>
    </row>
    <row r="46" spans="1:6">
      <c r="A46" s="65">
        <v>43775.793055555558</v>
      </c>
      <c r="B46" s="64">
        <v>7199.8119999999999</v>
      </c>
      <c r="E46" s="30">
        <f t="shared" si="2"/>
        <v>1.2198047201750424</v>
      </c>
    </row>
    <row r="47" spans="1:6">
      <c r="B47" s="10"/>
      <c r="E47" s="30"/>
    </row>
    <row r="48" spans="1:6">
      <c r="A48" s="52"/>
      <c r="B48" s="51"/>
      <c r="E48" s="30"/>
    </row>
    <row r="49" spans="1:5">
      <c r="A49" s="52"/>
      <c r="B49" s="51"/>
      <c r="E49" s="30"/>
    </row>
    <row r="50" spans="1:5">
      <c r="A50" s="52"/>
      <c r="B50" s="51"/>
      <c r="E50" s="30"/>
    </row>
    <row r="51" spans="1:5">
      <c r="A51" s="52"/>
      <c r="B51" s="51"/>
      <c r="E51" s="30"/>
    </row>
    <row r="52" spans="1:5">
      <c r="A52" s="52"/>
      <c r="B52" s="51"/>
      <c r="E52" s="30"/>
    </row>
    <row r="53" spans="1:5">
      <c r="A53" s="52"/>
      <c r="B53" s="51"/>
      <c r="E53" s="30"/>
    </row>
    <row r="54" spans="1:5">
      <c r="A54" s="52"/>
      <c r="B54" s="51"/>
      <c r="E54" s="30"/>
    </row>
    <row r="55" spans="1:5">
      <c r="A55" s="14"/>
      <c r="B55" s="10"/>
      <c r="E55" s="30"/>
    </row>
    <row r="56" spans="1:5">
      <c r="A56" s="14"/>
      <c r="B56" s="10"/>
      <c r="E56" s="30"/>
    </row>
    <row r="57" spans="1:5">
      <c r="A57" s="14"/>
      <c r="B57" s="10"/>
      <c r="E57" s="30"/>
    </row>
    <row r="58" spans="1:5">
      <c r="A58" s="15"/>
      <c r="B58" s="16"/>
      <c r="E58" s="30"/>
    </row>
    <row r="59" spans="1:5">
      <c r="A59" s="15"/>
      <c r="B59" s="16"/>
      <c r="E59" s="30"/>
    </row>
    <row r="60" spans="1:5">
      <c r="A60" s="15"/>
      <c r="B60" s="16"/>
      <c r="E60" s="30"/>
    </row>
    <row r="61" spans="1:5">
      <c r="A61" s="15"/>
      <c r="B61" s="16"/>
      <c r="E61" s="30"/>
    </row>
    <row r="62" spans="1:5">
      <c r="A62" s="15"/>
      <c r="B62" s="16"/>
      <c r="E62" s="30"/>
    </row>
    <row r="63" spans="1:5">
      <c r="A63" s="15"/>
      <c r="B63" s="16"/>
      <c r="E63" s="30"/>
    </row>
  </sheetData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373"/>
  <sheetViews>
    <sheetView workbookViewId="0">
      <selection activeCell="A5" sqref="A5"/>
    </sheetView>
  </sheetViews>
  <sheetFormatPr defaultRowHeight="15"/>
  <cols>
    <col min="1" max="1" width="9.140625" style="117"/>
    <col min="2" max="3" width="14.28515625" style="117" customWidth="1"/>
    <col min="4" max="16384" width="9.140625" style="117"/>
  </cols>
  <sheetData>
    <row r="1" spans="1:19">
      <c r="A1" s="117">
        <f>20*-0.66/100</f>
        <v>-0.13200000000000001</v>
      </c>
      <c r="B1" s="117" t="s">
        <v>420</v>
      </c>
      <c r="E1" s="74">
        <f>SUM(E6:E259)</f>
        <v>721.04733333333365</v>
      </c>
      <c r="F1" s="74">
        <f>SUM(F6:F259)</f>
        <v>719.3623865629994</v>
      </c>
      <c r="J1" s="117" t="s">
        <v>419</v>
      </c>
    </row>
    <row r="2" spans="1:19">
      <c r="A2" s="117" t="s">
        <v>418</v>
      </c>
      <c r="E2" s="2">
        <v>10</v>
      </c>
      <c r="F2" s="2" t="s">
        <v>129</v>
      </c>
      <c r="G2" s="117">
        <f>E2*1000/30</f>
        <v>333.33333333333331</v>
      </c>
      <c r="H2" s="117" t="s">
        <v>316</v>
      </c>
      <c r="J2" s="117" t="s">
        <v>417</v>
      </c>
      <c r="R2" s="117">
        <v>333</v>
      </c>
    </row>
    <row r="3" spans="1:19">
      <c r="A3" s="117" t="s">
        <v>416</v>
      </c>
      <c r="E3" s="2">
        <v>15.5</v>
      </c>
      <c r="F3" s="2" t="s">
        <v>107</v>
      </c>
      <c r="J3" s="117" t="s">
        <v>415</v>
      </c>
      <c r="L3" s="74">
        <f>D259-D5</f>
        <v>1630.17</v>
      </c>
      <c r="M3" s="117" t="s">
        <v>3</v>
      </c>
      <c r="N3" s="117">
        <f>L4/E2/24</f>
        <v>72.678412499999993</v>
      </c>
      <c r="O3" s="117" t="s">
        <v>414</v>
      </c>
      <c r="R3" s="117">
        <v>5.5</v>
      </c>
      <c r="S3" s="117" t="s">
        <v>413</v>
      </c>
    </row>
    <row r="4" spans="1:19">
      <c r="A4" s="141" t="s">
        <v>1542</v>
      </c>
      <c r="C4" s="42" t="s">
        <v>312</v>
      </c>
      <c r="D4" s="42" t="s">
        <v>3</v>
      </c>
      <c r="E4" s="117" t="s">
        <v>104</v>
      </c>
      <c r="F4" s="117" t="s">
        <v>412</v>
      </c>
      <c r="G4" s="117" t="s">
        <v>411</v>
      </c>
      <c r="H4" s="117" t="s">
        <v>410</v>
      </c>
      <c r="L4" s="117">
        <f>L3*10.7</f>
        <v>17442.819</v>
      </c>
      <c r="M4" s="117" t="s">
        <v>34</v>
      </c>
      <c r="N4" s="117">
        <f>(L4-L5)/E2/24</f>
        <v>64.283412499999997</v>
      </c>
      <c r="O4" s="117" t="s">
        <v>409</v>
      </c>
      <c r="R4" s="110">
        <f>R2*R3</f>
        <v>1831.5</v>
      </c>
      <c r="S4" s="110" t="s">
        <v>408</v>
      </c>
    </row>
    <row r="5" spans="1:19">
      <c r="B5" s="71">
        <v>43709</v>
      </c>
      <c r="C5" s="30"/>
      <c r="D5" s="74">
        <v>4356</v>
      </c>
      <c r="K5" s="117">
        <v>0.23</v>
      </c>
      <c r="L5" s="117">
        <f>365*24*K5</f>
        <v>2014.8000000000002</v>
      </c>
      <c r="M5" s="117" t="s">
        <v>241</v>
      </c>
    </row>
    <row r="6" spans="1:19">
      <c r="A6" s="30">
        <v>15.069999999999999</v>
      </c>
      <c r="B6" s="71">
        <v>43728</v>
      </c>
      <c r="C6" s="30">
        <f>A6+A$1</f>
        <v>14.937999999999999</v>
      </c>
      <c r="D6" s="74">
        <v>4363.3999999999996</v>
      </c>
      <c r="E6" s="74">
        <f t="shared" ref="E6:E69" si="0">IF(C6&lt;E$3,(E$3-C6)*E$2/30,0)</f>
        <v>0.18733333333333371</v>
      </c>
      <c r="F6" s="74">
        <f t="shared" ref="F6:F69" si="1">(D6-D5)/(B6-B5)*10.7/24</f>
        <v>0.17364035087718444</v>
      </c>
      <c r="G6" s="74"/>
      <c r="H6" s="74"/>
      <c r="I6" s="74"/>
      <c r="J6" s="74"/>
      <c r="O6" s="117" t="s">
        <v>407</v>
      </c>
      <c r="P6" s="117" t="s">
        <v>406</v>
      </c>
      <c r="Q6" s="117" t="s">
        <v>405</v>
      </c>
      <c r="R6" s="117" t="s">
        <v>404</v>
      </c>
    </row>
    <row r="7" spans="1:19">
      <c r="A7" s="30">
        <v>14.26</v>
      </c>
      <c r="B7" s="71">
        <v>43739</v>
      </c>
      <c r="C7" s="30">
        <f>A7+A$1</f>
        <v>14.128</v>
      </c>
      <c r="D7" s="74">
        <v>4374</v>
      </c>
      <c r="E7" s="74">
        <f t="shared" si="0"/>
        <v>0.45733333333333331</v>
      </c>
      <c r="F7" s="74">
        <f t="shared" si="1"/>
        <v>0.42962121212122684</v>
      </c>
      <c r="G7" s="74"/>
      <c r="H7" s="74"/>
      <c r="I7" s="74"/>
      <c r="M7" s="117" t="s">
        <v>403</v>
      </c>
      <c r="N7" s="74">
        <v>12.8</v>
      </c>
      <c r="O7" s="74"/>
      <c r="P7" s="117">
        <v>32</v>
      </c>
      <c r="Q7" s="117">
        <v>73</v>
      </c>
      <c r="R7" s="117">
        <f>P7+Q7</f>
        <v>105</v>
      </c>
      <c r="S7" s="117" t="s">
        <v>402</v>
      </c>
    </row>
    <row r="8" spans="1:19">
      <c r="A8" s="122">
        <v>12.399999999999999</v>
      </c>
      <c r="B8" s="71">
        <v>43740</v>
      </c>
      <c r="C8" s="30">
        <f>A8+A$1</f>
        <v>12.267999999999999</v>
      </c>
      <c r="D8" s="126">
        <v>4375.93</v>
      </c>
      <c r="E8" s="74">
        <f t="shared" si="0"/>
        <v>1.0773333333333335</v>
      </c>
      <c r="F8" s="74">
        <f t="shared" si="1"/>
        <v>0.860458333333463</v>
      </c>
      <c r="G8" s="74"/>
      <c r="H8" s="74"/>
      <c r="I8" s="74"/>
      <c r="M8" s="117" t="s">
        <v>401</v>
      </c>
      <c r="N8" s="74">
        <v>8.1999999999999993</v>
      </c>
      <c r="O8" s="74">
        <f>N7*N8</f>
        <v>104.96</v>
      </c>
      <c r="P8" s="117">
        <v>72</v>
      </c>
      <c r="Q8" s="117">
        <v>33</v>
      </c>
      <c r="R8" s="117">
        <f>P8+Q8</f>
        <v>105</v>
      </c>
      <c r="S8" s="117" t="s">
        <v>400</v>
      </c>
    </row>
    <row r="9" spans="1:19">
      <c r="A9" s="122">
        <v>8</v>
      </c>
      <c r="B9" s="71">
        <v>43741</v>
      </c>
      <c r="C9" s="30">
        <f>A9+A$1</f>
        <v>7.8680000000000003</v>
      </c>
      <c r="D9" s="126">
        <v>4377.8600000000006</v>
      </c>
      <c r="E9" s="74">
        <f t="shared" si="0"/>
        <v>2.5439999999999996</v>
      </c>
      <c r="F9" s="74">
        <f t="shared" si="1"/>
        <v>0.860458333333463</v>
      </c>
      <c r="G9" s="74">
        <f t="shared" ref="G9:G72" si="2">SUM(E6:E12)/7</f>
        <v>1.5949523809523811</v>
      </c>
      <c r="H9" s="74">
        <f t="shared" ref="H9:H72" si="3">SUM(F6:F12)/7</f>
        <v>0.7007933185236751</v>
      </c>
      <c r="I9" s="74"/>
      <c r="M9" s="117" t="s">
        <v>399</v>
      </c>
      <c r="N9" s="74">
        <v>6.6</v>
      </c>
      <c r="O9" s="74"/>
      <c r="P9" s="117">
        <v>72</v>
      </c>
      <c r="Q9" s="117">
        <v>33</v>
      </c>
      <c r="R9" s="117">
        <f>P9+Q9</f>
        <v>105</v>
      </c>
      <c r="S9" s="117" t="s">
        <v>398</v>
      </c>
    </row>
    <row r="10" spans="1:19">
      <c r="A10" s="122">
        <v>9.3999999999999986</v>
      </c>
      <c r="B10" s="71">
        <v>43742</v>
      </c>
      <c r="C10" s="30">
        <f t="shared" ref="C10:C73" si="4">A9+A$1</f>
        <v>7.8680000000000003</v>
      </c>
      <c r="D10" s="126">
        <v>4379.7900000000009</v>
      </c>
      <c r="E10" s="74">
        <f t="shared" si="0"/>
        <v>2.5439999999999996</v>
      </c>
      <c r="F10" s="74">
        <f t="shared" si="1"/>
        <v>0.860458333333463</v>
      </c>
      <c r="G10" s="74">
        <f t="shared" si="2"/>
        <v>1.9649523809523808</v>
      </c>
      <c r="H10" s="74">
        <f t="shared" si="3"/>
        <v>0.80018398268400781</v>
      </c>
      <c r="I10" s="74"/>
      <c r="N10" s="74" t="s">
        <v>397</v>
      </c>
      <c r="P10" s="117">
        <f>SUM(P7:P9)</f>
        <v>176</v>
      </c>
      <c r="Q10" s="117">
        <f>SUM(Q7:Q9)</f>
        <v>139</v>
      </c>
      <c r="R10" s="117">
        <f>SUM(P10:Q10)</f>
        <v>315</v>
      </c>
      <c r="S10" s="117" t="s">
        <v>314</v>
      </c>
    </row>
    <row r="11" spans="1:19">
      <c r="A11" s="122">
        <v>8.8000000000000007</v>
      </c>
      <c r="B11" s="71">
        <v>43743</v>
      </c>
      <c r="C11" s="30">
        <f t="shared" si="4"/>
        <v>9.2679999999999989</v>
      </c>
      <c r="D11" s="126">
        <v>4381.7200000000012</v>
      </c>
      <c r="E11" s="74">
        <f t="shared" si="0"/>
        <v>2.0773333333333337</v>
      </c>
      <c r="F11" s="74">
        <f t="shared" si="1"/>
        <v>0.860458333333463</v>
      </c>
      <c r="G11" s="74">
        <f t="shared" si="2"/>
        <v>2.3820952380952383</v>
      </c>
      <c r="H11" s="74">
        <f t="shared" si="3"/>
        <v>1.0477083333333217</v>
      </c>
      <c r="I11" s="74"/>
      <c r="N11" s="74">
        <f>P11/O11</f>
        <v>7.1544715447154479</v>
      </c>
      <c r="O11" s="117">
        <v>8.1999999999999993</v>
      </c>
      <c r="P11" s="117">
        <f>P10/3</f>
        <v>58.666666666666664</v>
      </c>
    </row>
    <row r="12" spans="1:19">
      <c r="A12" s="122">
        <v>7.3000000000000007</v>
      </c>
      <c r="B12" s="71">
        <v>43744</v>
      </c>
      <c r="C12" s="30">
        <f t="shared" si="4"/>
        <v>8.668000000000001</v>
      </c>
      <c r="D12" s="126">
        <v>4383.6500000000015</v>
      </c>
      <c r="E12" s="74">
        <f t="shared" si="0"/>
        <v>2.277333333333333</v>
      </c>
      <c r="F12" s="74">
        <f t="shared" si="1"/>
        <v>0.860458333333463</v>
      </c>
      <c r="G12" s="74">
        <f t="shared" si="2"/>
        <v>2.5868571428571423</v>
      </c>
      <c r="H12" s="74">
        <f t="shared" si="3"/>
        <v>1.313297619047612</v>
      </c>
      <c r="I12" s="74"/>
      <c r="J12" s="74"/>
      <c r="P12" s="117">
        <f>P10/R10</f>
        <v>0.55873015873015874</v>
      </c>
      <c r="Q12" s="117" t="s">
        <v>396</v>
      </c>
    </row>
    <row r="13" spans="1:19">
      <c r="A13" s="122">
        <v>5.5</v>
      </c>
      <c r="B13" s="71">
        <v>43745</v>
      </c>
      <c r="C13" s="30">
        <f t="shared" si="4"/>
        <v>7.168000000000001</v>
      </c>
      <c r="D13" s="74">
        <v>4385.6000000000004</v>
      </c>
      <c r="E13" s="74">
        <f t="shared" si="0"/>
        <v>2.777333333333333</v>
      </c>
      <c r="F13" s="74">
        <f t="shared" si="1"/>
        <v>0.8693749999995134</v>
      </c>
      <c r="G13" s="74">
        <f t="shared" si="2"/>
        <v>2.3820952380952378</v>
      </c>
      <c r="H13" s="74">
        <f t="shared" si="3"/>
        <v>1.4674285714285111</v>
      </c>
      <c r="I13" s="74"/>
      <c r="J13" s="74"/>
    </row>
    <row r="14" spans="1:19">
      <c r="A14" s="122">
        <v>8.1000000000000014</v>
      </c>
      <c r="B14" s="71">
        <v>43746</v>
      </c>
      <c r="C14" s="30">
        <f t="shared" si="4"/>
        <v>5.3680000000000003</v>
      </c>
      <c r="D14" s="74">
        <v>4390.45</v>
      </c>
      <c r="E14" s="74">
        <f t="shared" si="0"/>
        <v>3.3773333333333331</v>
      </c>
      <c r="F14" s="74">
        <f t="shared" si="1"/>
        <v>2.1622916666664231</v>
      </c>
      <c r="G14" s="74">
        <f t="shared" si="2"/>
        <v>2.2487619047619045</v>
      </c>
      <c r="H14" s="74">
        <f t="shared" si="3"/>
        <v>1.5737916666666112</v>
      </c>
      <c r="I14" s="74"/>
      <c r="J14" s="74"/>
      <c r="M14" s="69" t="s">
        <v>395</v>
      </c>
    </row>
    <row r="15" spans="1:19">
      <c r="A15" s="122">
        <v>12.3</v>
      </c>
      <c r="B15" s="71">
        <v>43747</v>
      </c>
      <c r="C15" s="30">
        <f t="shared" si="4"/>
        <v>7.9680000000000017</v>
      </c>
      <c r="D15" s="74">
        <v>4396.55</v>
      </c>
      <c r="E15" s="74">
        <f t="shared" si="0"/>
        <v>2.5106666666666659</v>
      </c>
      <c r="F15" s="74">
        <f t="shared" si="1"/>
        <v>2.7195833333334956</v>
      </c>
      <c r="G15" s="74">
        <f t="shared" si="2"/>
        <v>2.1535238095238092</v>
      </c>
      <c r="H15" s="74">
        <f t="shared" si="3"/>
        <v>1.7311071428570455</v>
      </c>
      <c r="I15" s="74"/>
      <c r="J15" s="74"/>
      <c r="M15" s="69" t="s">
        <v>421</v>
      </c>
    </row>
    <row r="16" spans="1:19">
      <c r="A16" s="122">
        <v>10.8</v>
      </c>
      <c r="B16" s="71">
        <v>43748</v>
      </c>
      <c r="C16" s="30">
        <f t="shared" si="4"/>
        <v>12.168000000000001</v>
      </c>
      <c r="D16" s="74">
        <v>4400.8999999999996</v>
      </c>
      <c r="E16" s="74">
        <f t="shared" si="0"/>
        <v>1.1106666666666665</v>
      </c>
      <c r="F16" s="74">
        <f t="shared" si="1"/>
        <v>1.9393749999997567</v>
      </c>
      <c r="G16" s="74">
        <f t="shared" si="2"/>
        <v>1.8344761904761904</v>
      </c>
      <c r="H16" s="74">
        <f t="shared" si="3"/>
        <v>1.8884226190475377</v>
      </c>
      <c r="I16" s="74"/>
      <c r="J16" s="74"/>
      <c r="M16" s="117" t="s">
        <v>394</v>
      </c>
    </row>
    <row r="17" spans="1:13">
      <c r="A17" s="122">
        <v>11.399999999999999</v>
      </c>
      <c r="B17" s="71">
        <v>43749</v>
      </c>
      <c r="C17" s="30">
        <f t="shared" si="4"/>
        <v>10.668000000000001</v>
      </c>
      <c r="D17" s="74">
        <v>4404.5</v>
      </c>
      <c r="E17" s="74">
        <f t="shared" si="0"/>
        <v>1.6106666666666665</v>
      </c>
      <c r="F17" s="74">
        <f t="shared" si="1"/>
        <v>1.6050000000001621</v>
      </c>
      <c r="G17" s="74">
        <f t="shared" si="2"/>
        <v>1.4377142857142857</v>
      </c>
      <c r="H17" s="74">
        <f t="shared" si="3"/>
        <v>1.8852380952380603</v>
      </c>
      <c r="I17" s="74"/>
      <c r="J17" s="74"/>
      <c r="M17" s="117" t="s">
        <v>393</v>
      </c>
    </row>
    <row r="18" spans="1:13">
      <c r="A18" s="122">
        <v>15.5</v>
      </c>
      <c r="B18" s="71">
        <v>43750</v>
      </c>
      <c r="C18" s="30">
        <f t="shared" si="4"/>
        <v>11.267999999999999</v>
      </c>
      <c r="D18" s="126">
        <v>4408.8999999999996</v>
      </c>
      <c r="E18" s="74">
        <f t="shared" si="0"/>
        <v>1.410666666666667</v>
      </c>
      <c r="F18" s="74">
        <f t="shared" si="1"/>
        <v>1.9616666666665044</v>
      </c>
      <c r="G18" s="74">
        <f t="shared" si="2"/>
        <v>1.0234285714285714</v>
      </c>
      <c r="H18" s="74">
        <f t="shared" si="3"/>
        <v>1.6973511904761671</v>
      </c>
      <c r="I18" s="74"/>
      <c r="J18" s="74"/>
      <c r="K18" s="74"/>
      <c r="M18" s="117" t="s">
        <v>392</v>
      </c>
    </row>
    <row r="19" spans="1:13">
      <c r="A19" s="122">
        <v>16.399999999999999</v>
      </c>
      <c r="B19" s="71">
        <v>43751</v>
      </c>
      <c r="C19" s="30">
        <f t="shared" si="4"/>
        <v>15.368</v>
      </c>
      <c r="D19" s="74">
        <v>4413.3</v>
      </c>
      <c r="E19" s="74">
        <f t="shared" si="0"/>
        <v>4.3999999999999893E-2</v>
      </c>
      <c r="F19" s="74">
        <f t="shared" si="1"/>
        <v>1.96166666666691</v>
      </c>
      <c r="G19" s="74">
        <f t="shared" si="2"/>
        <v>0.78533333333333311</v>
      </c>
      <c r="H19" s="74">
        <f t="shared" si="3"/>
        <v>1.4298511904761209</v>
      </c>
      <c r="I19" s="74"/>
      <c r="J19" s="74"/>
      <c r="M19" s="117" t="s">
        <v>391</v>
      </c>
    </row>
    <row r="20" spans="1:13">
      <c r="A20" s="122">
        <v>14.2</v>
      </c>
      <c r="B20" s="71">
        <v>43752</v>
      </c>
      <c r="C20" s="30">
        <f t="shared" si="4"/>
        <v>16.267999999999997</v>
      </c>
      <c r="D20" s="126">
        <v>4415.2</v>
      </c>
      <c r="E20" s="74">
        <f t="shared" si="0"/>
        <v>0</v>
      </c>
      <c r="F20" s="74">
        <f t="shared" si="1"/>
        <v>0.84708333333317098</v>
      </c>
      <c r="G20" s="74">
        <f t="shared" si="2"/>
        <v>0.77104761904761898</v>
      </c>
      <c r="H20" s="74">
        <f t="shared" si="3"/>
        <v>1.2706250000000465</v>
      </c>
      <c r="I20" s="74"/>
      <c r="J20" s="74"/>
      <c r="M20" s="117" t="s">
        <v>390</v>
      </c>
    </row>
    <row r="21" spans="1:13">
      <c r="A21" s="122">
        <v>13.100000000000001</v>
      </c>
      <c r="B21" s="71">
        <v>43753</v>
      </c>
      <c r="C21" s="30">
        <f t="shared" si="4"/>
        <v>14.068</v>
      </c>
      <c r="D21" s="126">
        <v>4417.0999999999995</v>
      </c>
      <c r="E21" s="74">
        <f t="shared" si="0"/>
        <v>0.47733333333333344</v>
      </c>
      <c r="F21" s="74">
        <f t="shared" si="1"/>
        <v>0.84708333333317098</v>
      </c>
      <c r="G21" s="74">
        <f t="shared" si="2"/>
        <v>0.70914285714285696</v>
      </c>
      <c r="H21" s="74">
        <f t="shared" si="3"/>
        <v>1.2865476190476077</v>
      </c>
      <c r="I21" s="74">
        <f t="shared" ref="I21:I84" si="5">SUM(E7:E35)/29</f>
        <v>1.4636321839080459</v>
      </c>
      <c r="J21" s="74">
        <f t="shared" ref="J21:J84" si="6">SUM(F7:F35)/29</f>
        <v>1.2672987199582213</v>
      </c>
      <c r="K21" s="123" t="s">
        <v>389</v>
      </c>
      <c r="M21" s="117" t="s">
        <v>422</v>
      </c>
    </row>
    <row r="22" spans="1:13">
      <c r="A22" s="122">
        <v>12.600000000000001</v>
      </c>
      <c r="B22" s="71">
        <v>43754</v>
      </c>
      <c r="C22" s="30">
        <f t="shared" si="4"/>
        <v>12.968000000000002</v>
      </c>
      <c r="D22" s="126">
        <v>4418.9999999999991</v>
      </c>
      <c r="E22" s="74">
        <f t="shared" si="0"/>
        <v>0.84399999999999942</v>
      </c>
      <c r="F22" s="74">
        <f t="shared" si="1"/>
        <v>0.84708333333317098</v>
      </c>
      <c r="G22" s="74">
        <f t="shared" si="2"/>
        <v>0.58057142857142818</v>
      </c>
      <c r="H22" s="74">
        <f t="shared" si="3"/>
        <v>1.2961011904762139</v>
      </c>
      <c r="I22" s="74">
        <f t="shared" si="5"/>
        <v>1.5746666666666664</v>
      </c>
      <c r="J22" s="74">
        <f t="shared" si="6"/>
        <v>1.316745689655195</v>
      </c>
      <c r="K22" s="123">
        <v>89.800000000000182</v>
      </c>
    </row>
    <row r="23" spans="1:13">
      <c r="A23" s="122">
        <v>12.100000000000001</v>
      </c>
      <c r="B23" s="71">
        <v>43755</v>
      </c>
      <c r="C23" s="30">
        <f t="shared" si="4"/>
        <v>12.468000000000002</v>
      </c>
      <c r="D23" s="74">
        <v>4420.8500000000004</v>
      </c>
      <c r="E23" s="74">
        <f t="shared" si="0"/>
        <v>1.0106666666666662</v>
      </c>
      <c r="F23" s="74">
        <f t="shared" si="1"/>
        <v>0.82479166666723425</v>
      </c>
      <c r="G23" s="74">
        <f t="shared" si="2"/>
        <v>0.74247619047619007</v>
      </c>
      <c r="H23" s="74">
        <f t="shared" si="3"/>
        <v>1.0929285714285621</v>
      </c>
      <c r="I23" s="74">
        <f t="shared" si="5"/>
        <v>1.6827126436781608</v>
      </c>
      <c r="J23" s="74">
        <f t="shared" si="6"/>
        <v>1.3508749999999987</v>
      </c>
      <c r="K23" s="127" t="s">
        <v>388</v>
      </c>
    </row>
    <row r="24" spans="1:13">
      <c r="A24" s="122">
        <v>14.1</v>
      </c>
      <c r="B24" s="71">
        <v>43756</v>
      </c>
      <c r="C24" s="30">
        <f t="shared" si="4"/>
        <v>11.968000000000002</v>
      </c>
      <c r="D24" s="74">
        <v>4424.7</v>
      </c>
      <c r="E24" s="74">
        <f t="shared" si="0"/>
        <v>1.1773333333333327</v>
      </c>
      <c r="F24" s="74">
        <f t="shared" si="1"/>
        <v>1.7164583333330901</v>
      </c>
      <c r="G24" s="74">
        <f t="shared" si="2"/>
        <v>0.95352380952380911</v>
      </c>
      <c r="H24" s="74">
        <f t="shared" si="3"/>
        <v>1.0489821428571591</v>
      </c>
      <c r="I24" s="74">
        <f t="shared" si="5"/>
        <v>1.7608735632183907</v>
      </c>
      <c r="J24" s="74">
        <f t="shared" si="6"/>
        <v>1.3673247126436721</v>
      </c>
      <c r="K24" s="127">
        <v>82</v>
      </c>
    </row>
    <row r="25" spans="1:13">
      <c r="A25" s="122">
        <v>12.100000000000001</v>
      </c>
      <c r="B25" s="71">
        <v>43757</v>
      </c>
      <c r="C25" s="30">
        <f t="shared" si="4"/>
        <v>13.968</v>
      </c>
      <c r="D25" s="74">
        <v>4429.25</v>
      </c>
      <c r="E25" s="74">
        <f t="shared" si="0"/>
        <v>0.51066666666666671</v>
      </c>
      <c r="F25" s="74">
        <f t="shared" si="1"/>
        <v>2.0285416666667477</v>
      </c>
      <c r="G25" s="74">
        <f t="shared" si="2"/>
        <v>1.1059047619047615</v>
      </c>
      <c r="H25" s="74">
        <f t="shared" si="3"/>
        <v>1.0050357142857558</v>
      </c>
      <c r="I25" s="74">
        <f t="shared" si="5"/>
        <v>1.8160459770114941</v>
      </c>
      <c r="J25" s="74">
        <f t="shared" si="6"/>
        <v>1.4483433908045842</v>
      </c>
    </row>
    <row r="26" spans="1:13">
      <c r="A26" s="122">
        <v>11.2</v>
      </c>
      <c r="B26" s="71">
        <v>43758</v>
      </c>
      <c r="C26" s="30">
        <f t="shared" si="4"/>
        <v>11.968000000000002</v>
      </c>
      <c r="D26" s="126">
        <v>4430.46</v>
      </c>
      <c r="E26" s="74">
        <f t="shared" si="0"/>
        <v>1.1773333333333327</v>
      </c>
      <c r="F26" s="74">
        <f t="shared" si="1"/>
        <v>0.53945833333334947</v>
      </c>
      <c r="G26" s="74">
        <f t="shared" si="2"/>
        <v>1.1916190476190474</v>
      </c>
      <c r="H26" s="74">
        <f t="shared" si="3"/>
        <v>0.9610892857143527</v>
      </c>
      <c r="I26" s="74">
        <f t="shared" si="5"/>
        <v>1.8263908045977011</v>
      </c>
      <c r="J26" s="74">
        <f t="shared" si="6"/>
        <v>1.5262873563218211</v>
      </c>
      <c r="K26" s="74"/>
    </row>
    <row r="27" spans="1:13">
      <c r="A27" s="122">
        <v>11</v>
      </c>
      <c r="B27" s="71">
        <v>43759</v>
      </c>
      <c r="C27" s="30">
        <f t="shared" si="4"/>
        <v>11.068</v>
      </c>
      <c r="D27" s="126">
        <v>4431.67</v>
      </c>
      <c r="E27" s="74">
        <f t="shared" si="0"/>
        <v>1.4773333333333336</v>
      </c>
      <c r="F27" s="74">
        <f t="shared" si="1"/>
        <v>0.53945833333334947</v>
      </c>
      <c r="G27" s="74">
        <f t="shared" si="2"/>
        <v>1.2011428571428571</v>
      </c>
      <c r="H27" s="74">
        <f t="shared" si="3"/>
        <v>0.95217261904760719</v>
      </c>
      <c r="I27" s="74">
        <f t="shared" si="5"/>
        <v>1.8298390804597702</v>
      </c>
      <c r="J27" s="74">
        <f t="shared" si="6"/>
        <v>1.6042313218390576</v>
      </c>
    </row>
    <row r="28" spans="1:13">
      <c r="A28" s="122">
        <v>11.3</v>
      </c>
      <c r="B28" s="71">
        <v>43760</v>
      </c>
      <c r="C28" s="30">
        <f t="shared" si="4"/>
        <v>10.868</v>
      </c>
      <c r="D28" s="126">
        <v>4432.88</v>
      </c>
      <c r="E28" s="74">
        <f t="shared" si="0"/>
        <v>1.5439999999999998</v>
      </c>
      <c r="F28" s="74">
        <f t="shared" si="1"/>
        <v>0.53945833333334947</v>
      </c>
      <c r="G28" s="74">
        <f t="shared" si="2"/>
        <v>1.2868571428571427</v>
      </c>
      <c r="H28" s="74">
        <f t="shared" si="3"/>
        <v>0.89485119047620199</v>
      </c>
      <c r="I28" s="74">
        <f t="shared" si="5"/>
        <v>1.7919080459770116</v>
      </c>
      <c r="J28" s="74">
        <f t="shared" si="6"/>
        <v>1.6814066091954003</v>
      </c>
      <c r="K28" s="74"/>
    </row>
    <row r="29" spans="1:13">
      <c r="A29" s="122">
        <v>12.399999999999999</v>
      </c>
      <c r="B29" s="71">
        <v>43761</v>
      </c>
      <c r="C29" s="30">
        <f t="shared" si="4"/>
        <v>11.168000000000001</v>
      </c>
      <c r="D29" s="126">
        <v>4434.09</v>
      </c>
      <c r="E29" s="74">
        <f t="shared" si="0"/>
        <v>1.4439999999999997</v>
      </c>
      <c r="F29" s="74">
        <f t="shared" si="1"/>
        <v>0.53945833333334947</v>
      </c>
      <c r="G29" s="74">
        <f t="shared" si="2"/>
        <v>1.3773333333333333</v>
      </c>
      <c r="H29" s="74">
        <f t="shared" si="3"/>
        <v>0.87128571428573276</v>
      </c>
      <c r="I29" s="74">
        <f t="shared" si="5"/>
        <v>1.7585747126436779</v>
      </c>
      <c r="J29" s="74">
        <f t="shared" si="6"/>
        <v>1.6422040229885149</v>
      </c>
    </row>
    <row r="30" spans="1:13">
      <c r="A30" s="122">
        <v>10.3</v>
      </c>
      <c r="B30" s="71">
        <v>43762</v>
      </c>
      <c r="C30" s="30">
        <f t="shared" si="4"/>
        <v>12.267999999999999</v>
      </c>
      <c r="D30" s="74">
        <v>4435.8</v>
      </c>
      <c r="E30" s="74">
        <f t="shared" si="0"/>
        <v>1.0773333333333335</v>
      </c>
      <c r="F30" s="74">
        <f t="shared" si="1"/>
        <v>0.76237500000001612</v>
      </c>
      <c r="G30" s="74">
        <f t="shared" si="2"/>
        <v>1.3487619047619048</v>
      </c>
      <c r="H30" s="74">
        <f t="shared" si="3"/>
        <v>1.0604464285714632</v>
      </c>
      <c r="I30" s="74">
        <f t="shared" si="5"/>
        <v>1.7608735632183907</v>
      </c>
      <c r="J30" s="74">
        <f t="shared" si="6"/>
        <v>1.6566551724137963</v>
      </c>
    </row>
    <row r="31" spans="1:13">
      <c r="A31" s="122">
        <v>12.2</v>
      </c>
      <c r="B31" s="71">
        <v>43763</v>
      </c>
      <c r="C31" s="30">
        <f t="shared" si="4"/>
        <v>10.168000000000001</v>
      </c>
      <c r="D31" s="74">
        <v>4438.75</v>
      </c>
      <c r="E31" s="74">
        <f t="shared" si="0"/>
        <v>1.7773333333333332</v>
      </c>
      <c r="F31" s="74">
        <f t="shared" si="1"/>
        <v>1.315208333333252</v>
      </c>
      <c r="G31" s="74">
        <f t="shared" si="2"/>
        <v>1.3011428571428572</v>
      </c>
      <c r="H31" s="74">
        <f t="shared" si="3"/>
        <v>1.2496071428571938</v>
      </c>
      <c r="I31" s="74">
        <f t="shared" si="5"/>
        <v>1.8068505747126433</v>
      </c>
      <c r="J31" s="74">
        <f t="shared" si="6"/>
        <v>1.6861724137931076</v>
      </c>
    </row>
    <row r="32" spans="1:13">
      <c r="A32" s="122">
        <v>12.7</v>
      </c>
      <c r="B32" s="71">
        <v>43764</v>
      </c>
      <c r="C32" s="30">
        <f t="shared" si="4"/>
        <v>12.068</v>
      </c>
      <c r="D32" s="126">
        <v>4442.93</v>
      </c>
      <c r="E32" s="74">
        <f t="shared" si="0"/>
        <v>1.1440000000000003</v>
      </c>
      <c r="F32" s="74">
        <f t="shared" si="1"/>
        <v>1.863583333333463</v>
      </c>
      <c r="G32" s="74">
        <f t="shared" si="2"/>
        <v>1.4868571428571429</v>
      </c>
      <c r="H32" s="74">
        <f t="shared" si="3"/>
        <v>1.4387678571429241</v>
      </c>
      <c r="I32" s="74">
        <f t="shared" si="5"/>
        <v>1.8551264367816089</v>
      </c>
      <c r="J32" s="74">
        <f t="shared" si="6"/>
        <v>1.7193793103448296</v>
      </c>
    </row>
    <row r="33" spans="1:11">
      <c r="A33" s="122">
        <v>12.2</v>
      </c>
      <c r="B33" s="71">
        <v>43765</v>
      </c>
      <c r="C33" s="30">
        <f t="shared" si="4"/>
        <v>12.568</v>
      </c>
      <c r="D33" s="126">
        <v>4447.1100000000006</v>
      </c>
      <c r="E33" s="74">
        <f t="shared" si="0"/>
        <v>0.9773333333333335</v>
      </c>
      <c r="F33" s="74">
        <f t="shared" si="1"/>
        <v>1.863583333333463</v>
      </c>
      <c r="G33" s="74">
        <f t="shared" si="2"/>
        <v>1.8059047619047617</v>
      </c>
      <c r="H33" s="74">
        <f t="shared" si="3"/>
        <v>1.6279285714286547</v>
      </c>
      <c r="I33" s="74">
        <f t="shared" si="5"/>
        <v>1.9137471264367814</v>
      </c>
      <c r="J33" s="74">
        <f t="shared" si="6"/>
        <v>1.7521250000000037</v>
      </c>
      <c r="K33" s="74"/>
    </row>
    <row r="34" spans="1:11">
      <c r="A34" s="122">
        <v>7.1000000000000014</v>
      </c>
      <c r="B34" s="71">
        <v>43766</v>
      </c>
      <c r="C34" s="30">
        <f t="shared" si="4"/>
        <v>12.068</v>
      </c>
      <c r="D34" s="126">
        <v>4451.2900000000009</v>
      </c>
      <c r="E34" s="74">
        <f t="shared" si="0"/>
        <v>1.1440000000000003</v>
      </c>
      <c r="F34" s="74">
        <f t="shared" si="1"/>
        <v>1.863583333333463</v>
      </c>
      <c r="G34" s="74">
        <f t="shared" si="2"/>
        <v>2.2535238095238097</v>
      </c>
      <c r="H34" s="74">
        <f t="shared" si="3"/>
        <v>1.7833333333333332</v>
      </c>
      <c r="I34" s="74">
        <f t="shared" si="5"/>
        <v>2.0792643678160916</v>
      </c>
      <c r="J34" s="74">
        <f t="shared" si="6"/>
        <v>1.7994755747126463</v>
      </c>
    </row>
    <row r="35" spans="1:11">
      <c r="A35" s="122">
        <v>4.6000000000000014</v>
      </c>
      <c r="B35" s="71">
        <v>43767</v>
      </c>
      <c r="C35" s="30">
        <f t="shared" si="4"/>
        <v>6.9680000000000017</v>
      </c>
      <c r="D35" s="126">
        <v>4455.4700000000012</v>
      </c>
      <c r="E35" s="74">
        <f t="shared" si="0"/>
        <v>2.8439999999999994</v>
      </c>
      <c r="F35" s="74">
        <f t="shared" si="1"/>
        <v>1.863583333333463</v>
      </c>
      <c r="G35" s="74">
        <f t="shared" si="2"/>
        <v>2.6868571428571428</v>
      </c>
      <c r="H35" s="74">
        <f t="shared" si="3"/>
        <v>1.7865178571428688</v>
      </c>
      <c r="I35" s="74">
        <f t="shared" si="5"/>
        <v>2.2451494252873561</v>
      </c>
      <c r="J35" s="74">
        <f t="shared" si="6"/>
        <v>1.8954066091954014</v>
      </c>
    </row>
    <row r="36" spans="1:11">
      <c r="A36" s="122">
        <v>3</v>
      </c>
      <c r="B36" s="71">
        <v>43768</v>
      </c>
      <c r="C36" s="30">
        <f t="shared" si="4"/>
        <v>4.4680000000000017</v>
      </c>
      <c r="D36" s="126">
        <v>4459.6500000000015</v>
      </c>
      <c r="E36" s="74">
        <f t="shared" si="0"/>
        <v>3.6773333333333325</v>
      </c>
      <c r="F36" s="74">
        <f t="shared" si="1"/>
        <v>1.863583333333463</v>
      </c>
      <c r="G36" s="74">
        <f t="shared" si="2"/>
        <v>3.1154285714285712</v>
      </c>
      <c r="H36" s="74">
        <f t="shared" si="3"/>
        <v>1.9788630952380768</v>
      </c>
      <c r="I36" s="74">
        <f t="shared" si="5"/>
        <v>2.366988505747126</v>
      </c>
      <c r="J36" s="74">
        <f t="shared" si="6"/>
        <v>2.0207011494252947</v>
      </c>
    </row>
    <row r="37" spans="1:11">
      <c r="A37" s="122">
        <v>1.1999999999999993</v>
      </c>
      <c r="B37" s="71">
        <v>43769</v>
      </c>
      <c r="C37" s="30">
        <f t="shared" si="4"/>
        <v>2.8679999999999999</v>
      </c>
      <c r="D37" s="74">
        <v>4463.8</v>
      </c>
      <c r="E37" s="74">
        <f t="shared" si="0"/>
        <v>4.2106666666666666</v>
      </c>
      <c r="F37" s="74">
        <f t="shared" si="1"/>
        <v>1.8502083333327655</v>
      </c>
      <c r="G37" s="74">
        <f t="shared" si="2"/>
        <v>3.3154285714285714</v>
      </c>
      <c r="H37" s="74">
        <f t="shared" si="3"/>
        <v>2.1584702380952008</v>
      </c>
      <c r="I37" s="74">
        <f t="shared" si="5"/>
        <v>2.4876781609195397</v>
      </c>
      <c r="J37" s="74">
        <f t="shared" si="6"/>
        <v>2.1158635057471415</v>
      </c>
      <c r="K37" s="74"/>
    </row>
    <row r="38" spans="1:11">
      <c r="A38" s="122">
        <v>3.1999999999999993</v>
      </c>
      <c r="B38" s="71">
        <v>43770</v>
      </c>
      <c r="C38" s="30">
        <f t="shared" si="4"/>
        <v>1.0679999999999992</v>
      </c>
      <c r="D38" s="74">
        <v>4466.8</v>
      </c>
      <c r="E38" s="74">
        <f t="shared" si="0"/>
        <v>4.8106666666666662</v>
      </c>
      <c r="F38" s="74">
        <f t="shared" si="1"/>
        <v>1.3374999999999997</v>
      </c>
      <c r="G38" s="74">
        <f t="shared" si="2"/>
        <v>3.4916190476190474</v>
      </c>
      <c r="H38" s="74">
        <f t="shared" si="3"/>
        <v>2.338077380952325</v>
      </c>
      <c r="I38" s="74">
        <f t="shared" si="5"/>
        <v>2.602620689655172</v>
      </c>
      <c r="J38" s="74">
        <f t="shared" si="6"/>
        <v>2.2345474137930945</v>
      </c>
      <c r="K38" s="74"/>
    </row>
    <row r="39" spans="1:11">
      <c r="A39" s="122">
        <v>8.5</v>
      </c>
      <c r="B39" s="71">
        <v>43771</v>
      </c>
      <c r="C39" s="30">
        <f t="shared" si="4"/>
        <v>3.0679999999999992</v>
      </c>
      <c r="D39" s="126">
        <v>4474</v>
      </c>
      <c r="E39" s="74">
        <f t="shared" si="0"/>
        <v>4.1440000000000001</v>
      </c>
      <c r="F39" s="74">
        <f t="shared" si="1"/>
        <v>3.2099999999999187</v>
      </c>
      <c r="G39" s="74">
        <f t="shared" si="2"/>
        <v>3.3249523809523809</v>
      </c>
      <c r="H39" s="74">
        <f t="shared" si="3"/>
        <v>2.5157738095237514</v>
      </c>
      <c r="I39" s="74">
        <f t="shared" si="5"/>
        <v>2.6566436781609188</v>
      </c>
      <c r="J39" s="74">
        <f t="shared" si="6"/>
        <v>2.3005000000000044</v>
      </c>
    </row>
    <row r="40" spans="1:11">
      <c r="A40" s="122">
        <v>8.5</v>
      </c>
      <c r="B40" s="71">
        <v>43772</v>
      </c>
      <c r="C40" s="30">
        <f t="shared" si="4"/>
        <v>8.3680000000000003</v>
      </c>
      <c r="D40" s="126">
        <v>4481</v>
      </c>
      <c r="E40" s="74">
        <f t="shared" si="0"/>
        <v>2.3773333333333331</v>
      </c>
      <c r="F40" s="74">
        <f t="shared" si="1"/>
        <v>3.1208333333333331</v>
      </c>
      <c r="G40" s="74">
        <f t="shared" si="2"/>
        <v>3.1439999999999997</v>
      </c>
      <c r="H40" s="74">
        <f t="shared" si="3"/>
        <v>2.3960357142856492</v>
      </c>
      <c r="I40" s="74">
        <f t="shared" si="5"/>
        <v>2.724459770114942</v>
      </c>
      <c r="J40" s="74">
        <f t="shared" si="6"/>
        <v>2.3201781609195407</v>
      </c>
      <c r="K40" s="74"/>
    </row>
    <row r="41" spans="1:11">
      <c r="A41" s="122">
        <v>10.600000000000001</v>
      </c>
      <c r="B41" s="71">
        <v>43773</v>
      </c>
      <c r="C41" s="30">
        <f t="shared" si="4"/>
        <v>8.3680000000000003</v>
      </c>
      <c r="D41" s="126">
        <v>4488</v>
      </c>
      <c r="E41" s="74">
        <f t="shared" si="0"/>
        <v>2.3773333333333331</v>
      </c>
      <c r="F41" s="74">
        <f t="shared" si="1"/>
        <v>3.1208333333333331</v>
      </c>
      <c r="G41" s="74">
        <f t="shared" si="2"/>
        <v>2.9106666666666663</v>
      </c>
      <c r="H41" s="74">
        <f t="shared" si="3"/>
        <v>2.5801011904762041</v>
      </c>
      <c r="I41" s="74">
        <f t="shared" si="5"/>
        <v>2.7474482758620682</v>
      </c>
      <c r="J41" s="74">
        <f t="shared" si="6"/>
        <v>2.4078074712643653</v>
      </c>
      <c r="K41" s="74"/>
    </row>
    <row r="42" spans="1:11">
      <c r="A42" s="122">
        <v>8.3999999999999986</v>
      </c>
      <c r="B42" s="71">
        <v>43774</v>
      </c>
      <c r="C42" s="30">
        <f t="shared" si="4"/>
        <v>10.468000000000002</v>
      </c>
      <c r="D42" s="74">
        <v>4494.97</v>
      </c>
      <c r="E42" s="74">
        <f t="shared" si="0"/>
        <v>1.6773333333333327</v>
      </c>
      <c r="F42" s="74">
        <f t="shared" si="1"/>
        <v>3.1074583333334469</v>
      </c>
      <c r="G42" s="74">
        <f t="shared" si="2"/>
        <v>2.5725714285714285</v>
      </c>
      <c r="H42" s="74">
        <f t="shared" si="3"/>
        <v>2.7883690476190317</v>
      </c>
      <c r="I42" s="74">
        <f t="shared" si="5"/>
        <v>2.7842298850574703</v>
      </c>
      <c r="J42" s="74">
        <f t="shared" si="6"/>
        <v>2.4888261494252917</v>
      </c>
      <c r="K42" s="74"/>
    </row>
    <row r="43" spans="1:11">
      <c r="A43" s="122">
        <v>7.8999999999999986</v>
      </c>
      <c r="B43" s="71">
        <v>43775</v>
      </c>
      <c r="C43" s="30">
        <f t="shared" si="4"/>
        <v>8.2679999999999989</v>
      </c>
      <c r="D43" s="74">
        <v>4497.2700000000004</v>
      </c>
      <c r="E43" s="74">
        <f t="shared" si="0"/>
        <v>2.4106666666666667</v>
      </c>
      <c r="F43" s="74">
        <f t="shared" si="1"/>
        <v>1.0254166666667477</v>
      </c>
      <c r="G43" s="74">
        <f t="shared" si="2"/>
        <v>2.4106666666666667</v>
      </c>
      <c r="H43" s="74">
        <f t="shared" si="3"/>
        <v>2.6966547619047709</v>
      </c>
      <c r="I43" s="74">
        <f t="shared" si="5"/>
        <v>2.8566436781609186</v>
      </c>
      <c r="J43" s="74">
        <f t="shared" si="6"/>
        <v>2.5796839080459786</v>
      </c>
      <c r="K43" s="74"/>
    </row>
    <row r="44" spans="1:11">
      <c r="A44" s="122">
        <v>8.3000000000000007</v>
      </c>
      <c r="B44" s="71">
        <v>43776</v>
      </c>
      <c r="C44" s="30">
        <f t="shared" si="4"/>
        <v>7.7679999999999989</v>
      </c>
      <c r="D44" s="74">
        <v>4504.3100000000004</v>
      </c>
      <c r="E44" s="74">
        <f t="shared" si="0"/>
        <v>2.5773333333333337</v>
      </c>
      <c r="F44" s="74">
        <f t="shared" si="1"/>
        <v>3.1386666666666501</v>
      </c>
      <c r="G44" s="74">
        <f t="shared" si="2"/>
        <v>2.5154285714285711</v>
      </c>
      <c r="H44" s="74">
        <f t="shared" si="3"/>
        <v>2.6667202380952308</v>
      </c>
      <c r="I44" s="74">
        <f t="shared" si="5"/>
        <v>2.9141149425287352</v>
      </c>
      <c r="J44" s="74">
        <f t="shared" si="6"/>
        <v>2.6726939655172317</v>
      </c>
      <c r="K44" s="74"/>
    </row>
    <row r="45" spans="1:11">
      <c r="A45" s="122">
        <v>6.6000000000000014</v>
      </c>
      <c r="B45" s="71">
        <v>43777</v>
      </c>
      <c r="C45" s="30">
        <f t="shared" si="4"/>
        <v>8.168000000000001</v>
      </c>
      <c r="D45" s="74">
        <v>4510.58</v>
      </c>
      <c r="E45" s="74">
        <f t="shared" si="0"/>
        <v>2.444</v>
      </c>
      <c r="F45" s="74">
        <f t="shared" si="1"/>
        <v>2.795374999999789</v>
      </c>
      <c r="G45" s="74">
        <f t="shared" si="2"/>
        <v>2.8678095238095236</v>
      </c>
      <c r="H45" s="74">
        <f t="shared" si="3"/>
        <v>2.6972916666666897</v>
      </c>
      <c r="I45" s="74">
        <f t="shared" si="5"/>
        <v>2.9646896551724131</v>
      </c>
      <c r="J45" s="74">
        <f t="shared" si="6"/>
        <v>2.749715517241373</v>
      </c>
    </row>
    <row r="46" spans="1:11">
      <c r="A46" s="122">
        <v>6.3000000000000007</v>
      </c>
      <c r="B46" s="71">
        <v>43778</v>
      </c>
      <c r="C46" s="30">
        <f t="shared" si="4"/>
        <v>6.4680000000000017</v>
      </c>
      <c r="D46" s="74">
        <v>4516.34</v>
      </c>
      <c r="E46" s="74">
        <f t="shared" si="0"/>
        <v>3.0106666666666659</v>
      </c>
      <c r="F46" s="74">
        <f t="shared" si="1"/>
        <v>2.5680000000000969</v>
      </c>
      <c r="G46" s="74">
        <f t="shared" si="2"/>
        <v>3.3154285714285714</v>
      </c>
      <c r="H46" s="74">
        <f t="shared" si="3"/>
        <v>2.7718095238094937</v>
      </c>
      <c r="I46" s="74">
        <f t="shared" si="5"/>
        <v>2.9865287356321835</v>
      </c>
      <c r="J46" s="74">
        <f t="shared" si="6"/>
        <v>2.8235086206896516</v>
      </c>
      <c r="K46" s="74"/>
    </row>
    <row r="47" spans="1:11">
      <c r="A47" s="122">
        <v>1.1000000000000014</v>
      </c>
      <c r="B47" s="71">
        <v>43779</v>
      </c>
      <c r="C47" s="30">
        <f t="shared" si="4"/>
        <v>6.168000000000001</v>
      </c>
      <c r="D47" s="74">
        <v>4522.87</v>
      </c>
      <c r="E47" s="74">
        <f t="shared" si="0"/>
        <v>3.1106666666666665</v>
      </c>
      <c r="F47" s="74">
        <f t="shared" si="1"/>
        <v>2.9112916666665529</v>
      </c>
      <c r="G47" s="74">
        <f t="shared" si="2"/>
        <v>3.544</v>
      </c>
      <c r="H47" s="74">
        <f t="shared" si="3"/>
        <v>3.2654107142856836</v>
      </c>
      <c r="I47" s="74">
        <f t="shared" si="5"/>
        <v>3.0382528735632186</v>
      </c>
      <c r="J47" s="74">
        <f t="shared" si="6"/>
        <v>2.8516422413793059</v>
      </c>
      <c r="K47" s="74"/>
    </row>
    <row r="48" spans="1:11">
      <c r="A48" s="122">
        <v>1.1999999999999993</v>
      </c>
      <c r="B48" s="71">
        <v>43780</v>
      </c>
      <c r="C48" s="30">
        <f t="shared" si="4"/>
        <v>0.96800000000000141</v>
      </c>
      <c r="D48" s="74">
        <v>4530.3500000000004</v>
      </c>
      <c r="E48" s="74">
        <f t="shared" si="0"/>
        <v>4.8439999999999994</v>
      </c>
      <c r="F48" s="74">
        <f t="shared" si="1"/>
        <v>3.334833333333544</v>
      </c>
      <c r="G48" s="74">
        <f t="shared" si="2"/>
        <v>3.7963809523809524</v>
      </c>
      <c r="H48" s="74">
        <f t="shared" si="3"/>
        <v>3.3322857142856952</v>
      </c>
      <c r="I48" s="74">
        <f t="shared" si="5"/>
        <v>3.1060689655172418</v>
      </c>
      <c r="J48" s="74">
        <f t="shared" si="6"/>
        <v>2.8891537356321733</v>
      </c>
      <c r="K48" s="74"/>
    </row>
    <row r="49" spans="1:11">
      <c r="A49" s="122">
        <v>3.6000000000000014</v>
      </c>
      <c r="B49" s="71">
        <v>43781</v>
      </c>
      <c r="C49" s="30">
        <f t="shared" si="4"/>
        <v>1.0679999999999992</v>
      </c>
      <c r="D49" s="74">
        <v>4538.49</v>
      </c>
      <c r="E49" s="74">
        <f t="shared" si="0"/>
        <v>4.8106666666666662</v>
      </c>
      <c r="F49" s="74">
        <f t="shared" si="1"/>
        <v>3.6290833333330732</v>
      </c>
      <c r="G49" s="74">
        <f t="shared" si="2"/>
        <v>4.0678095238095233</v>
      </c>
      <c r="H49" s="74">
        <f t="shared" si="3"/>
        <v>3.5424642857142783</v>
      </c>
      <c r="I49" s="74">
        <f t="shared" si="5"/>
        <v>3.1819310344827585</v>
      </c>
      <c r="J49" s="74">
        <f t="shared" si="6"/>
        <v>2.9354281609195194</v>
      </c>
      <c r="K49" s="74"/>
    </row>
    <row r="50" spans="1:11">
      <c r="A50" s="122">
        <v>2.6000000000000014</v>
      </c>
      <c r="B50" s="71">
        <v>43782</v>
      </c>
      <c r="C50" s="30">
        <f t="shared" si="4"/>
        <v>3.4680000000000013</v>
      </c>
      <c r="D50" s="74">
        <v>4548.54</v>
      </c>
      <c r="E50" s="74">
        <f t="shared" si="0"/>
        <v>4.0106666666666664</v>
      </c>
      <c r="F50" s="74">
        <f t="shared" si="1"/>
        <v>4.4806250000000807</v>
      </c>
      <c r="G50" s="74">
        <f t="shared" si="2"/>
        <v>4.0297142857142854</v>
      </c>
      <c r="H50" s="74">
        <f t="shared" si="3"/>
        <v>3.6940476190476188</v>
      </c>
      <c r="I50" s="74">
        <f t="shared" si="5"/>
        <v>3.2072183908045977</v>
      </c>
      <c r="J50" s="74">
        <f t="shared" si="6"/>
        <v>2.9949238505746898</v>
      </c>
      <c r="K50" s="74"/>
    </row>
    <row r="51" spans="1:11">
      <c r="A51" s="122">
        <v>2.6000000000000014</v>
      </c>
      <c r="B51" s="71">
        <v>43783</v>
      </c>
      <c r="C51" s="30">
        <f t="shared" si="4"/>
        <v>2.4680000000000013</v>
      </c>
      <c r="D51" s="74">
        <v>4556.63</v>
      </c>
      <c r="E51" s="74">
        <f t="shared" si="0"/>
        <v>4.3439999999999994</v>
      </c>
      <c r="F51" s="74">
        <f t="shared" si="1"/>
        <v>3.6067916666667315</v>
      </c>
      <c r="G51" s="74">
        <f t="shared" si="2"/>
        <v>3.9392380952380952</v>
      </c>
      <c r="H51" s="74">
        <f t="shared" si="3"/>
        <v>3.6494642857142976</v>
      </c>
      <c r="I51" s="74">
        <f t="shared" si="5"/>
        <v>3.1991724137931032</v>
      </c>
      <c r="J51" s="74">
        <f t="shared" si="6"/>
        <v>3.0478089080459485</v>
      </c>
      <c r="K51" s="123" t="s">
        <v>387</v>
      </c>
    </row>
    <row r="52" spans="1:11">
      <c r="A52" s="122">
        <v>7.3999999999999986</v>
      </c>
      <c r="B52" s="71">
        <v>43784</v>
      </c>
      <c r="C52" s="30">
        <f t="shared" si="4"/>
        <v>2.4680000000000013</v>
      </c>
      <c r="D52" s="74">
        <v>4566.2</v>
      </c>
      <c r="E52" s="74">
        <f t="shared" si="0"/>
        <v>4.3439999999999994</v>
      </c>
      <c r="F52" s="74">
        <f t="shared" si="1"/>
        <v>4.2666249999998698</v>
      </c>
      <c r="G52" s="74">
        <f t="shared" si="2"/>
        <v>3.5106666666666659</v>
      </c>
      <c r="H52" s="74">
        <f t="shared" si="3"/>
        <v>3.6131607142856867</v>
      </c>
      <c r="I52" s="74">
        <f t="shared" si="5"/>
        <v>3.1371034482758615</v>
      </c>
      <c r="J52" s="74">
        <f t="shared" si="6"/>
        <v>3.1043836206896458</v>
      </c>
      <c r="K52" s="123">
        <v>207.69999999999982</v>
      </c>
    </row>
    <row r="53" spans="1:11">
      <c r="A53" s="122">
        <v>8.1999999999999993</v>
      </c>
      <c r="B53" s="71">
        <v>43785</v>
      </c>
      <c r="C53" s="30">
        <f t="shared" si="4"/>
        <v>7.2679999999999989</v>
      </c>
      <c r="D53" s="74">
        <v>4574.34</v>
      </c>
      <c r="E53" s="74">
        <f t="shared" si="0"/>
        <v>2.7440000000000002</v>
      </c>
      <c r="F53" s="74">
        <f t="shared" si="1"/>
        <v>3.6290833333334791</v>
      </c>
      <c r="G53" s="74">
        <f t="shared" si="2"/>
        <v>3.1868571428571424</v>
      </c>
      <c r="H53" s="74">
        <f t="shared" si="3"/>
        <v>3.5074345238095623</v>
      </c>
      <c r="I53" s="74">
        <f t="shared" si="5"/>
        <v>3.0692873563218388</v>
      </c>
      <c r="J53" s="74">
        <f t="shared" si="6"/>
        <v>3.1930890804597669</v>
      </c>
      <c r="K53" s="123" t="s">
        <v>379</v>
      </c>
    </row>
    <row r="54" spans="1:11">
      <c r="A54" s="122">
        <v>10.100000000000001</v>
      </c>
      <c r="B54" s="71">
        <v>43786</v>
      </c>
      <c r="C54" s="30">
        <f t="shared" si="4"/>
        <v>8.0679999999999996</v>
      </c>
      <c r="D54" s="74">
        <v>4580.17</v>
      </c>
      <c r="E54" s="74">
        <f t="shared" si="0"/>
        <v>2.4773333333333336</v>
      </c>
      <c r="F54" s="74">
        <f t="shared" si="1"/>
        <v>2.5992083333333009</v>
      </c>
      <c r="G54" s="74">
        <f t="shared" si="2"/>
        <v>3.1344761904761902</v>
      </c>
      <c r="H54" s="74">
        <f t="shared" si="3"/>
        <v>3.3208214285714495</v>
      </c>
      <c r="I54" s="74">
        <f t="shared" si="5"/>
        <v>3.084229885057471</v>
      </c>
      <c r="J54" s="74">
        <f t="shared" si="6"/>
        <v>3.2207614942528733</v>
      </c>
      <c r="K54" s="123">
        <v>200.2</v>
      </c>
    </row>
    <row r="55" spans="1:11">
      <c r="A55" s="122">
        <v>8</v>
      </c>
      <c r="B55" s="71">
        <v>43787</v>
      </c>
      <c r="C55" s="30">
        <f t="shared" si="4"/>
        <v>9.9680000000000017</v>
      </c>
      <c r="D55" s="74">
        <v>4587.08</v>
      </c>
      <c r="E55" s="74">
        <f t="shared" si="0"/>
        <v>1.8439999999999992</v>
      </c>
      <c r="F55" s="74">
        <f t="shared" si="1"/>
        <v>3.0807083333332681</v>
      </c>
      <c r="G55" s="74">
        <f t="shared" si="2"/>
        <v>2.9582857142857142</v>
      </c>
      <c r="H55" s="74">
        <f t="shared" si="3"/>
        <v>3.2679583333333007</v>
      </c>
      <c r="I55" s="74">
        <f t="shared" si="5"/>
        <v>3.177333333333332</v>
      </c>
      <c r="J55" s="74">
        <f t="shared" si="6"/>
        <v>3.2545833333333309</v>
      </c>
      <c r="K55" s="74"/>
    </row>
    <row r="56" spans="1:11">
      <c r="A56" s="122">
        <v>4.6999999999999993</v>
      </c>
      <c r="B56" s="71">
        <v>43788</v>
      </c>
      <c r="C56" s="30">
        <f t="shared" si="4"/>
        <v>7.8680000000000003</v>
      </c>
      <c r="D56" s="74">
        <v>4593.5600000000004</v>
      </c>
      <c r="E56" s="74">
        <f t="shared" si="0"/>
        <v>2.5439999999999996</v>
      </c>
      <c r="F56" s="74">
        <f t="shared" si="1"/>
        <v>2.8890000000002107</v>
      </c>
      <c r="G56" s="74">
        <f t="shared" si="2"/>
        <v>2.7011428571428566</v>
      </c>
      <c r="H56" s="74">
        <f t="shared" si="3"/>
        <v>3.0864404761904782</v>
      </c>
      <c r="I56" s="74">
        <f t="shared" si="5"/>
        <v>3.2485977011494245</v>
      </c>
      <c r="J56" s="74">
        <f t="shared" si="6"/>
        <v>3.2868678160919571</v>
      </c>
      <c r="K56" s="74"/>
    </row>
    <row r="57" spans="1:11">
      <c r="A57" s="122">
        <v>6.3000000000000007</v>
      </c>
      <c r="B57" s="71">
        <v>43789</v>
      </c>
      <c r="C57" s="30">
        <f t="shared" si="4"/>
        <v>4.5679999999999996</v>
      </c>
      <c r="D57" s="74">
        <v>4600.68</v>
      </c>
      <c r="E57" s="74">
        <f t="shared" si="0"/>
        <v>3.6440000000000001</v>
      </c>
      <c r="F57" s="74">
        <f t="shared" si="1"/>
        <v>3.1743333333332848</v>
      </c>
      <c r="G57" s="74">
        <f t="shared" si="2"/>
        <v>2.6535238095238092</v>
      </c>
      <c r="H57" s="74">
        <f t="shared" si="3"/>
        <v>3.0616011904761717</v>
      </c>
      <c r="I57" s="74">
        <f t="shared" si="5"/>
        <v>3.3497471264367809</v>
      </c>
      <c r="J57" s="74">
        <f t="shared" si="6"/>
        <v>3.3226882183908053</v>
      </c>
      <c r="K57" s="74"/>
    </row>
    <row r="58" spans="1:11">
      <c r="A58" s="122">
        <v>8</v>
      </c>
      <c r="B58" s="71">
        <v>43790</v>
      </c>
      <c r="C58" s="30">
        <f t="shared" si="4"/>
        <v>6.168000000000001</v>
      </c>
      <c r="D58" s="74">
        <v>4607.9399999999996</v>
      </c>
      <c r="E58" s="74">
        <f t="shared" si="0"/>
        <v>3.1106666666666665</v>
      </c>
      <c r="F58" s="74">
        <f t="shared" si="1"/>
        <v>3.2367499999996916</v>
      </c>
      <c r="G58" s="74">
        <f t="shared" si="2"/>
        <v>2.6773333333333338</v>
      </c>
      <c r="H58" s="74">
        <f t="shared" si="3"/>
        <v>3.0730654761904757</v>
      </c>
      <c r="I58" s="74">
        <f t="shared" si="5"/>
        <v>3.4244597701149417</v>
      </c>
      <c r="J58" s="74">
        <f t="shared" si="6"/>
        <v>3.4610502873563096</v>
      </c>
      <c r="K58" s="74"/>
    </row>
    <row r="59" spans="1:11">
      <c r="A59" s="122">
        <v>8.3999999999999986</v>
      </c>
      <c r="B59" s="71">
        <v>43791</v>
      </c>
      <c r="C59" s="30">
        <f t="shared" si="4"/>
        <v>7.8680000000000003</v>
      </c>
      <c r="D59" s="74">
        <v>4614.66</v>
      </c>
      <c r="E59" s="74">
        <f t="shared" si="0"/>
        <v>2.5439999999999996</v>
      </c>
      <c r="F59" s="74">
        <f t="shared" si="1"/>
        <v>2.9960000000001137</v>
      </c>
      <c r="G59" s="74">
        <f t="shared" si="2"/>
        <v>2.8344761904761908</v>
      </c>
      <c r="H59" s="74">
        <f t="shared" si="3"/>
        <v>3.0545952380952408</v>
      </c>
      <c r="I59" s="74">
        <f t="shared" si="5"/>
        <v>3.5279080459770102</v>
      </c>
      <c r="J59" s="74">
        <f t="shared" si="6"/>
        <v>3.5403778735632185</v>
      </c>
      <c r="K59" s="74"/>
    </row>
    <row r="60" spans="1:11">
      <c r="A60" s="122">
        <v>7.6999999999999993</v>
      </c>
      <c r="B60" s="71">
        <v>43792</v>
      </c>
      <c r="C60" s="30">
        <f t="shared" si="4"/>
        <v>8.2679999999999989</v>
      </c>
      <c r="D60" s="74">
        <v>4622.41</v>
      </c>
      <c r="E60" s="74">
        <f t="shared" si="0"/>
        <v>2.4106666666666667</v>
      </c>
      <c r="F60" s="74">
        <f t="shared" si="1"/>
        <v>3.4552083333333332</v>
      </c>
      <c r="G60" s="74">
        <f t="shared" si="2"/>
        <v>2.9487619047619051</v>
      </c>
      <c r="H60" s="74">
        <f t="shared" si="3"/>
        <v>3.0998154761904226</v>
      </c>
      <c r="I60" s="74">
        <f t="shared" si="5"/>
        <v>3.6198620689655159</v>
      </c>
      <c r="J60" s="74">
        <f t="shared" si="6"/>
        <v>3.6484540229885014</v>
      </c>
      <c r="K60" s="74"/>
    </row>
    <row r="61" spans="1:11">
      <c r="A61" s="122">
        <v>6.8000000000000007</v>
      </c>
      <c r="B61" s="71">
        <v>43793</v>
      </c>
      <c r="C61" s="30">
        <f t="shared" si="4"/>
        <v>7.5679999999999996</v>
      </c>
      <c r="D61" s="74">
        <v>4628.42</v>
      </c>
      <c r="E61" s="74">
        <f t="shared" si="0"/>
        <v>2.6440000000000001</v>
      </c>
      <c r="F61" s="74">
        <f t="shared" si="1"/>
        <v>2.6794583333334305</v>
      </c>
      <c r="G61" s="74">
        <f t="shared" si="2"/>
        <v>2.9392380952380952</v>
      </c>
      <c r="H61" s="74">
        <f t="shared" si="3"/>
        <v>3.159047619047584</v>
      </c>
      <c r="I61" s="74">
        <f t="shared" si="5"/>
        <v>3.6198620689655159</v>
      </c>
      <c r="J61" s="74">
        <f t="shared" si="6"/>
        <v>3.7121005747126445</v>
      </c>
      <c r="K61" s="74"/>
    </row>
    <row r="62" spans="1:11">
      <c r="A62" s="122">
        <v>5.6000000000000014</v>
      </c>
      <c r="B62" s="71">
        <v>43794</v>
      </c>
      <c r="C62" s="30">
        <f t="shared" si="4"/>
        <v>6.668000000000001</v>
      </c>
      <c r="D62" s="74">
        <v>4635.04</v>
      </c>
      <c r="E62" s="74">
        <f t="shared" si="0"/>
        <v>2.944</v>
      </c>
      <c r="F62" s="74">
        <f t="shared" si="1"/>
        <v>2.9514166666666175</v>
      </c>
      <c r="G62" s="74">
        <f t="shared" si="2"/>
        <v>2.9868571428571427</v>
      </c>
      <c r="H62" s="74">
        <f t="shared" si="3"/>
        <v>3.1819761904761923</v>
      </c>
      <c r="I62" s="74">
        <f t="shared" si="5"/>
        <v>3.5991724137931023</v>
      </c>
      <c r="J62" s="74">
        <f t="shared" si="6"/>
        <v>3.7715962643678158</v>
      </c>
      <c r="K62" s="74"/>
    </row>
    <row r="63" spans="1:11">
      <c r="A63" s="122">
        <v>4.8999999999999986</v>
      </c>
      <c r="B63" s="71">
        <v>43795</v>
      </c>
      <c r="C63" s="30">
        <f t="shared" si="4"/>
        <v>5.4680000000000017</v>
      </c>
      <c r="D63" s="74">
        <v>4642.2299999999996</v>
      </c>
      <c r="E63" s="74">
        <f t="shared" si="0"/>
        <v>3.3439999999999994</v>
      </c>
      <c r="F63" s="74">
        <f t="shared" si="1"/>
        <v>3.205541666666488</v>
      </c>
      <c r="G63" s="74">
        <f t="shared" si="2"/>
        <v>2.9678095238095241</v>
      </c>
      <c r="H63" s="74">
        <f t="shared" si="3"/>
        <v>3.2526726190476003</v>
      </c>
      <c r="I63" s="74">
        <f t="shared" si="5"/>
        <v>3.5233103448275851</v>
      </c>
      <c r="J63" s="74">
        <f t="shared" si="6"/>
        <v>3.787277298850567</v>
      </c>
      <c r="K63" s="74"/>
    </row>
    <row r="64" spans="1:11">
      <c r="A64" s="122">
        <v>5.3000000000000007</v>
      </c>
      <c r="B64" s="71">
        <v>43796</v>
      </c>
      <c r="C64" s="30">
        <f t="shared" si="4"/>
        <v>4.7679999999999989</v>
      </c>
      <c r="D64" s="74">
        <v>4650.28</v>
      </c>
      <c r="E64" s="74">
        <f t="shared" si="0"/>
        <v>3.5773333333333337</v>
      </c>
      <c r="F64" s="74">
        <f t="shared" si="1"/>
        <v>3.5889583333334141</v>
      </c>
      <c r="G64" s="74">
        <f t="shared" si="2"/>
        <v>3.0297142857142854</v>
      </c>
      <c r="H64" s="74">
        <f t="shared" si="3"/>
        <v>3.3176369047619141</v>
      </c>
      <c r="I64" s="74">
        <f t="shared" si="5"/>
        <v>3.5026206896551724</v>
      </c>
      <c r="J64" s="74">
        <f t="shared" si="6"/>
        <v>3.8081853448275869</v>
      </c>
      <c r="K64" s="74"/>
    </row>
    <row r="65" spans="1:12">
      <c r="A65" s="122">
        <v>8.3999999999999986</v>
      </c>
      <c r="B65" s="71">
        <v>43797</v>
      </c>
      <c r="C65" s="30">
        <f t="shared" si="4"/>
        <v>5.168000000000001</v>
      </c>
      <c r="D65" s="74">
        <v>4657.8999999999996</v>
      </c>
      <c r="E65" s="74">
        <f t="shared" si="0"/>
        <v>3.444</v>
      </c>
      <c r="F65" s="74">
        <f t="shared" si="1"/>
        <v>3.3972499999999513</v>
      </c>
      <c r="G65" s="74">
        <f t="shared" si="2"/>
        <v>3.3059047619047623</v>
      </c>
      <c r="H65" s="74">
        <f t="shared" si="3"/>
        <v>3.5080714285714238</v>
      </c>
      <c r="I65" s="74">
        <f t="shared" si="5"/>
        <v>3.5566436781609192</v>
      </c>
      <c r="J65" s="74">
        <f t="shared" si="6"/>
        <v>3.8397011494252915</v>
      </c>
      <c r="K65" s="74"/>
    </row>
    <row r="66" spans="1:12">
      <c r="A66" s="122">
        <v>7.1000000000000014</v>
      </c>
      <c r="B66" s="71">
        <v>43798</v>
      </c>
      <c r="C66" s="30">
        <f t="shared" si="4"/>
        <v>8.2679999999999989</v>
      </c>
      <c r="D66" s="74">
        <v>4665.7299999999996</v>
      </c>
      <c r="E66" s="74">
        <f t="shared" si="0"/>
        <v>2.4106666666666667</v>
      </c>
      <c r="F66" s="74">
        <f t="shared" si="1"/>
        <v>3.4908749999999671</v>
      </c>
      <c r="G66" s="74">
        <f t="shared" si="2"/>
        <v>3.6106666666666669</v>
      </c>
      <c r="H66" s="74">
        <f t="shared" si="3"/>
        <v>3.6723928571428472</v>
      </c>
      <c r="I66" s="74">
        <f t="shared" si="5"/>
        <v>3.584229885057471</v>
      </c>
      <c r="J66" s="74">
        <f t="shared" si="6"/>
        <v>3.9182600574712634</v>
      </c>
      <c r="K66" s="74"/>
    </row>
    <row r="67" spans="1:12">
      <c r="A67" s="122">
        <v>1.8999999999999986</v>
      </c>
      <c r="B67" s="71">
        <v>43799</v>
      </c>
      <c r="C67" s="30">
        <f t="shared" si="4"/>
        <v>6.9680000000000017</v>
      </c>
      <c r="D67" s="74">
        <v>4674.5</v>
      </c>
      <c r="E67" s="74">
        <f t="shared" si="0"/>
        <v>2.8439999999999994</v>
      </c>
      <c r="F67" s="74">
        <f t="shared" si="1"/>
        <v>3.9099583333335275</v>
      </c>
      <c r="G67" s="74">
        <f t="shared" si="2"/>
        <v>3.7678095238095239</v>
      </c>
      <c r="H67" s="74">
        <f t="shared" si="3"/>
        <v>3.7940416666667054</v>
      </c>
      <c r="I67" s="74">
        <f t="shared" si="5"/>
        <v>3.610666666666666</v>
      </c>
      <c r="J67" s="74">
        <f t="shared" si="6"/>
        <v>3.9556178160919577</v>
      </c>
      <c r="K67" s="74"/>
    </row>
    <row r="68" spans="1:12">
      <c r="A68" s="122">
        <v>0.39999999999999858</v>
      </c>
      <c r="B68" s="71">
        <v>43800</v>
      </c>
      <c r="C68" s="30">
        <f t="shared" si="4"/>
        <v>1.7679999999999985</v>
      </c>
      <c r="D68" s="74">
        <v>4683.5</v>
      </c>
      <c r="E68" s="74">
        <f t="shared" si="0"/>
        <v>4.5773333333333337</v>
      </c>
      <c r="F68" s="74">
        <f t="shared" si="1"/>
        <v>4.0125000000000002</v>
      </c>
      <c r="G68" s="74">
        <f t="shared" si="2"/>
        <v>3.915428571428571</v>
      </c>
      <c r="H68" s="74">
        <f t="shared" si="3"/>
        <v>3.8736547619048012</v>
      </c>
      <c r="I68" s="74">
        <f t="shared" si="5"/>
        <v>3.637103448275862</v>
      </c>
      <c r="J68" s="74">
        <f t="shared" si="6"/>
        <v>3.9934367816091987</v>
      </c>
    </row>
    <row r="69" spans="1:12">
      <c r="A69" s="122">
        <v>2.3000000000000007</v>
      </c>
      <c r="B69" s="71">
        <v>43801</v>
      </c>
      <c r="C69" s="30">
        <f t="shared" si="4"/>
        <v>0.26799999999999857</v>
      </c>
      <c r="D69" s="74">
        <v>4692.7</v>
      </c>
      <c r="E69" s="74">
        <f t="shared" si="0"/>
        <v>5.0773333333333337</v>
      </c>
      <c r="F69" s="74">
        <f t="shared" si="1"/>
        <v>4.1016666666665857</v>
      </c>
      <c r="G69" s="74">
        <f t="shared" si="2"/>
        <v>4.0773333333333337</v>
      </c>
      <c r="H69" s="74">
        <f t="shared" si="3"/>
        <v>4.1080357142857133</v>
      </c>
      <c r="I69" s="74">
        <f t="shared" si="5"/>
        <v>3.6440000000000001</v>
      </c>
      <c r="J69" s="74">
        <f t="shared" si="6"/>
        <v>4.0636939655172393</v>
      </c>
    </row>
    <row r="70" spans="1:12">
      <c r="A70" s="122">
        <v>1.8000000000000007</v>
      </c>
      <c r="B70" s="71">
        <v>43802</v>
      </c>
      <c r="C70" s="30">
        <f t="shared" si="4"/>
        <v>2.1680000000000006</v>
      </c>
      <c r="D70" s="74">
        <v>4701.8</v>
      </c>
      <c r="E70" s="74">
        <f t="shared" ref="E70:E133" si="7">IF(C70&lt;E$3,(E$3-C70)*E$2/30,0)</f>
        <v>4.444</v>
      </c>
      <c r="F70" s="74">
        <f t="shared" ref="F70:F133" si="8">(D70-D69)/(B70-B69)*10.7/24</f>
        <v>4.0570833333334955</v>
      </c>
      <c r="G70" s="74">
        <f t="shared" si="2"/>
        <v>4.5297142857142862</v>
      </c>
      <c r="H70" s="74">
        <f t="shared" si="3"/>
        <v>4.3863630952381465</v>
      </c>
      <c r="I70" s="74">
        <f t="shared" si="5"/>
        <v>3.6899770114942534</v>
      </c>
      <c r="J70" s="74">
        <f t="shared" si="6"/>
        <v>4.1127356321839148</v>
      </c>
    </row>
    <row r="71" spans="1:12">
      <c r="A71" s="122">
        <v>1.8999999999999986</v>
      </c>
      <c r="B71" s="71">
        <v>43803</v>
      </c>
      <c r="C71" s="30">
        <f t="shared" si="4"/>
        <v>1.6680000000000006</v>
      </c>
      <c r="D71" s="74">
        <v>4711.1000000000004</v>
      </c>
      <c r="E71" s="74">
        <f t="shared" si="7"/>
        <v>4.610666666666666</v>
      </c>
      <c r="F71" s="74">
        <f t="shared" si="8"/>
        <v>4.146250000000081</v>
      </c>
      <c r="G71" s="74">
        <f t="shared" si="2"/>
        <v>4.8535238095238098</v>
      </c>
      <c r="H71" s="74">
        <f t="shared" si="3"/>
        <v>4.6748809523809296</v>
      </c>
      <c r="I71" s="74">
        <f t="shared" si="5"/>
        <v>3.7669885057471268</v>
      </c>
      <c r="J71" s="74">
        <f t="shared" si="6"/>
        <v>4.1530143678160822</v>
      </c>
    </row>
    <row r="72" spans="1:12">
      <c r="A72" s="122">
        <v>-1.1000000000000014</v>
      </c>
      <c r="B72" s="71">
        <v>43804</v>
      </c>
      <c r="C72" s="30">
        <f t="shared" si="4"/>
        <v>1.7679999999999985</v>
      </c>
      <c r="D72" s="74">
        <v>4722.3999999999996</v>
      </c>
      <c r="E72" s="74">
        <f t="shared" si="7"/>
        <v>4.5773333333333337</v>
      </c>
      <c r="F72" s="74">
        <f t="shared" si="8"/>
        <v>5.0379166666663417</v>
      </c>
      <c r="G72" s="74">
        <f t="shared" si="2"/>
        <v>4.6297142857142859</v>
      </c>
      <c r="H72" s="74">
        <f t="shared" si="3"/>
        <v>4.7322023809523932</v>
      </c>
      <c r="I72" s="74">
        <f t="shared" si="5"/>
        <v>3.7957241379310354</v>
      </c>
      <c r="J72" s="74">
        <f t="shared" si="6"/>
        <v>4.1834540229885047</v>
      </c>
      <c r="K72" s="74"/>
    </row>
    <row r="73" spans="1:12">
      <c r="A73" s="122">
        <v>0.30000000000000071</v>
      </c>
      <c r="B73" s="71">
        <v>43805</v>
      </c>
      <c r="C73" s="30">
        <f t="shared" si="4"/>
        <v>-1.2320000000000015</v>
      </c>
      <c r="D73" s="74">
        <v>4734.6000000000004</v>
      </c>
      <c r="E73" s="74">
        <f t="shared" si="7"/>
        <v>5.5773333333333337</v>
      </c>
      <c r="F73" s="74">
        <f t="shared" si="8"/>
        <v>5.4391666666669911</v>
      </c>
      <c r="G73" s="74">
        <f t="shared" ref="G73:G136" si="9">SUM(E70:E76)/7</f>
        <v>4.2630476190476188</v>
      </c>
      <c r="H73" s="74">
        <f t="shared" ref="H73:H136" si="10">SUM(F70:F76)/7</f>
        <v>4.8086309523809527</v>
      </c>
      <c r="I73" s="74">
        <f t="shared" si="5"/>
        <v>3.8497471264367822</v>
      </c>
      <c r="J73" s="74">
        <f t="shared" si="6"/>
        <v>4.1886810344827587</v>
      </c>
    </row>
    <row r="74" spans="1:12">
      <c r="A74" s="122">
        <v>6.6000000000000014</v>
      </c>
      <c r="B74" s="71">
        <v>43806</v>
      </c>
      <c r="C74" s="30">
        <f t="shared" ref="C74:C137" si="11">A73+A$1</f>
        <v>0.1680000000000007</v>
      </c>
      <c r="D74" s="74">
        <v>4747.8999999999996</v>
      </c>
      <c r="E74" s="74">
        <f t="shared" si="7"/>
        <v>5.110666666666666</v>
      </c>
      <c r="F74" s="74">
        <f t="shared" si="8"/>
        <v>5.9295833333330092</v>
      </c>
      <c r="G74" s="74">
        <f t="shared" si="9"/>
        <v>4.0059047619047607</v>
      </c>
      <c r="H74" s="74">
        <f t="shared" si="10"/>
        <v>4.7704166666666428</v>
      </c>
      <c r="I74" s="74">
        <f t="shared" si="5"/>
        <v>3.8830804597701158</v>
      </c>
      <c r="J74" s="74">
        <f t="shared" si="6"/>
        <v>4.2145086206896449</v>
      </c>
    </row>
    <row r="75" spans="1:12">
      <c r="A75" s="122">
        <v>8.1000000000000014</v>
      </c>
      <c r="B75" s="71">
        <v>43807</v>
      </c>
      <c r="C75" s="30">
        <f t="shared" si="11"/>
        <v>6.4680000000000017</v>
      </c>
      <c r="D75" s="74">
        <v>4757.8</v>
      </c>
      <c r="E75" s="74">
        <f t="shared" si="7"/>
        <v>3.0106666666666659</v>
      </c>
      <c r="F75" s="74">
        <f t="shared" si="8"/>
        <v>4.4137500000002428</v>
      </c>
      <c r="G75" s="74">
        <f t="shared" si="9"/>
        <v>3.9487619047619051</v>
      </c>
      <c r="H75" s="74">
        <f t="shared" si="10"/>
        <v>4.7831547619047265</v>
      </c>
      <c r="I75" s="74">
        <f t="shared" si="5"/>
        <v>3.9164137931034486</v>
      </c>
      <c r="J75" s="74">
        <f t="shared" si="6"/>
        <v>4.2245014367815932</v>
      </c>
    </row>
    <row r="76" spans="1:12">
      <c r="A76" s="122">
        <v>7.6999999999999993</v>
      </c>
      <c r="B76" s="71">
        <v>43808</v>
      </c>
      <c r="C76" s="30">
        <f t="shared" si="11"/>
        <v>7.9680000000000017</v>
      </c>
      <c r="D76" s="74">
        <v>4768.2</v>
      </c>
      <c r="E76" s="74">
        <f t="shared" si="7"/>
        <v>2.5106666666666659</v>
      </c>
      <c r="F76" s="74">
        <f t="shared" si="8"/>
        <v>4.6366666666665042</v>
      </c>
      <c r="G76" s="74">
        <f t="shared" si="9"/>
        <v>4.0916190476190479</v>
      </c>
      <c r="H76" s="74">
        <f t="shared" si="10"/>
        <v>4.8341071428571771</v>
      </c>
      <c r="I76" s="74">
        <f t="shared" si="5"/>
        <v>3.9715862068965522</v>
      </c>
      <c r="J76" s="74">
        <f t="shared" si="6"/>
        <v>4.2612442528735395</v>
      </c>
    </row>
    <row r="77" spans="1:12">
      <c r="A77" s="122">
        <v>3</v>
      </c>
      <c r="B77" s="71">
        <v>43809</v>
      </c>
      <c r="C77" s="30">
        <f t="shared" si="11"/>
        <v>7.5679999999999996</v>
      </c>
      <c r="D77" s="74">
        <v>4776.7</v>
      </c>
      <c r="E77" s="74">
        <f t="shared" si="7"/>
        <v>2.6440000000000001</v>
      </c>
      <c r="F77" s="74">
        <f t="shared" si="8"/>
        <v>3.7895833333333329</v>
      </c>
      <c r="G77" s="74">
        <f t="shared" si="9"/>
        <v>4.0297142857142854</v>
      </c>
      <c r="H77" s="74">
        <f t="shared" si="10"/>
        <v>4.8977976190475951</v>
      </c>
      <c r="I77" s="74">
        <f t="shared" si="5"/>
        <v>3.9796321839080466</v>
      </c>
      <c r="J77" s="74">
        <f t="shared" si="6"/>
        <v>4.2886091954022705</v>
      </c>
    </row>
    <row r="78" spans="1:12">
      <c r="A78" s="122">
        <v>-1.1000000000000014</v>
      </c>
      <c r="B78" s="71">
        <v>43810</v>
      </c>
      <c r="C78" s="30">
        <f t="shared" si="11"/>
        <v>2.8679999999999999</v>
      </c>
      <c r="D78" s="74">
        <v>4786.2</v>
      </c>
      <c r="E78" s="74">
        <f t="shared" si="7"/>
        <v>4.2106666666666666</v>
      </c>
      <c r="F78" s="74">
        <f t="shared" si="8"/>
        <v>4.2354166666666666</v>
      </c>
      <c r="G78" s="74">
        <f t="shared" si="9"/>
        <v>4.0297142857142854</v>
      </c>
      <c r="H78" s="74">
        <f t="shared" si="10"/>
        <v>4.8150000000000235</v>
      </c>
      <c r="I78" s="74">
        <f t="shared" si="5"/>
        <v>3.9865287356321839</v>
      </c>
      <c r="J78" s="74">
        <f t="shared" si="6"/>
        <v>4.3087485632183977</v>
      </c>
    </row>
    <row r="79" spans="1:12">
      <c r="A79" s="122">
        <v>0.19999999999999929</v>
      </c>
      <c r="B79" s="71">
        <v>43811</v>
      </c>
      <c r="C79" s="30">
        <f t="shared" si="11"/>
        <v>-1.2320000000000015</v>
      </c>
      <c r="D79" s="74">
        <v>4798.3</v>
      </c>
      <c r="E79" s="74">
        <f t="shared" si="7"/>
        <v>5.5773333333333337</v>
      </c>
      <c r="F79" s="74">
        <f t="shared" si="8"/>
        <v>5.3945833333334958</v>
      </c>
      <c r="G79" s="74">
        <f t="shared" si="9"/>
        <v>4.1011428571428565</v>
      </c>
      <c r="H79" s="74">
        <f t="shared" si="10"/>
        <v>4.8595833333333447</v>
      </c>
      <c r="I79" s="74">
        <f t="shared" si="5"/>
        <v>3.9727356321839085</v>
      </c>
      <c r="J79" s="74">
        <f t="shared" si="6"/>
        <v>4.2987557471264353</v>
      </c>
      <c r="L79" s="74"/>
    </row>
    <row r="80" spans="1:12">
      <c r="A80" s="122">
        <v>0.30000000000000071</v>
      </c>
      <c r="B80" s="71">
        <v>43812</v>
      </c>
      <c r="C80" s="30">
        <f t="shared" si="11"/>
        <v>6.7999999999999283E-2</v>
      </c>
      <c r="D80" s="74">
        <v>4811.5</v>
      </c>
      <c r="E80" s="74">
        <f t="shared" si="7"/>
        <v>5.1440000000000001</v>
      </c>
      <c r="F80" s="74">
        <f t="shared" si="8"/>
        <v>5.884999999999919</v>
      </c>
      <c r="G80" s="74">
        <f t="shared" si="9"/>
        <v>4.1249523809523811</v>
      </c>
      <c r="H80" s="74">
        <f t="shared" si="10"/>
        <v>4.8595833333333447</v>
      </c>
      <c r="I80" s="74">
        <f t="shared" si="5"/>
        <v>3.9888275862068969</v>
      </c>
      <c r="J80" s="74">
        <f t="shared" si="6"/>
        <v>4.3076724137931137</v>
      </c>
    </row>
    <row r="81" spans="1:11">
      <c r="A81" s="122">
        <v>5.1000000000000014</v>
      </c>
      <c r="B81" s="71">
        <v>43813</v>
      </c>
      <c r="C81" s="30">
        <f t="shared" si="11"/>
        <v>0.1680000000000007</v>
      </c>
      <c r="D81" s="74">
        <v>4823.5</v>
      </c>
      <c r="E81" s="74">
        <f t="shared" si="7"/>
        <v>5.110666666666666</v>
      </c>
      <c r="F81" s="74">
        <f t="shared" si="8"/>
        <v>5.3499999999999988</v>
      </c>
      <c r="G81" s="74">
        <f t="shared" si="9"/>
        <v>4.2011428571428571</v>
      </c>
      <c r="H81" s="74">
        <f t="shared" si="10"/>
        <v>4.9614880952381295</v>
      </c>
      <c r="I81" s="74">
        <f t="shared" si="5"/>
        <v>4.054344827586208</v>
      </c>
      <c r="J81" s="74">
        <f t="shared" si="6"/>
        <v>4.302599137931046</v>
      </c>
      <c r="K81" s="127" t="s">
        <v>387</v>
      </c>
    </row>
    <row r="82" spans="1:11">
      <c r="A82" s="122">
        <v>7.6000000000000014</v>
      </c>
      <c r="B82" s="71">
        <v>43814</v>
      </c>
      <c r="C82" s="30">
        <f t="shared" si="11"/>
        <v>4.9680000000000017</v>
      </c>
      <c r="D82" s="74">
        <v>4834.1000000000004</v>
      </c>
      <c r="E82" s="74">
        <f t="shared" si="7"/>
        <v>3.5106666666666659</v>
      </c>
      <c r="F82" s="74">
        <f t="shared" si="8"/>
        <v>4.7258333333334948</v>
      </c>
      <c r="G82" s="74">
        <f t="shared" si="9"/>
        <v>4.2820952380952377</v>
      </c>
      <c r="H82" s="74">
        <f t="shared" si="10"/>
        <v>4.9360119047619042</v>
      </c>
      <c r="I82" s="74">
        <f t="shared" si="5"/>
        <v>4.1290574712643684</v>
      </c>
      <c r="J82" s="74">
        <f t="shared" si="6"/>
        <v>4.2876867816091897</v>
      </c>
      <c r="K82" s="123">
        <v>294.8</v>
      </c>
    </row>
    <row r="83" spans="1:11">
      <c r="A83" s="122">
        <v>6.1000000000000014</v>
      </c>
      <c r="B83" s="71">
        <v>43815</v>
      </c>
      <c r="C83" s="30">
        <f t="shared" si="11"/>
        <v>7.4680000000000017</v>
      </c>
      <c r="D83" s="74">
        <v>4844.5</v>
      </c>
      <c r="E83" s="74">
        <f t="shared" si="7"/>
        <v>2.6773333333333325</v>
      </c>
      <c r="F83" s="74">
        <f t="shared" si="8"/>
        <v>4.6366666666665042</v>
      </c>
      <c r="G83" s="74">
        <f t="shared" si="9"/>
        <v>4.1249523809523803</v>
      </c>
      <c r="H83" s="74">
        <f t="shared" si="10"/>
        <v>4.7449404761904761</v>
      </c>
      <c r="I83" s="74">
        <f t="shared" si="5"/>
        <v>4.1612413793103453</v>
      </c>
      <c r="J83" s="74">
        <f t="shared" si="6"/>
        <v>4.3291954022988568</v>
      </c>
      <c r="K83" s="127" t="s">
        <v>379</v>
      </c>
    </row>
    <row r="84" spans="1:11">
      <c r="A84" s="122">
        <v>1.3000000000000007</v>
      </c>
      <c r="B84" s="71">
        <v>43816</v>
      </c>
      <c r="C84" s="30">
        <f t="shared" si="11"/>
        <v>5.9680000000000017</v>
      </c>
      <c r="D84" s="74">
        <v>4854.6000000000004</v>
      </c>
      <c r="E84" s="74">
        <f t="shared" si="7"/>
        <v>3.1773333333333325</v>
      </c>
      <c r="F84" s="74">
        <f t="shared" si="8"/>
        <v>4.5029166666668283</v>
      </c>
      <c r="G84" s="74">
        <f t="shared" si="9"/>
        <v>4.0582857142857138</v>
      </c>
      <c r="H84" s="74">
        <f t="shared" si="10"/>
        <v>4.3882738095237857</v>
      </c>
      <c r="I84" s="74">
        <f t="shared" si="5"/>
        <v>4.1646896551724142</v>
      </c>
      <c r="J84" s="74">
        <f t="shared" si="6"/>
        <v>4.3906896551724204</v>
      </c>
      <c r="K84" s="127">
        <v>287</v>
      </c>
    </row>
    <row r="85" spans="1:11">
      <c r="A85" s="122">
        <v>2.1999999999999993</v>
      </c>
      <c r="B85" s="71">
        <v>43817</v>
      </c>
      <c r="C85" s="30">
        <f t="shared" si="11"/>
        <v>1.1680000000000006</v>
      </c>
      <c r="D85" s="74">
        <v>4863.7</v>
      </c>
      <c r="E85" s="74">
        <f t="shared" si="7"/>
        <v>4.777333333333333</v>
      </c>
      <c r="F85" s="74">
        <f t="shared" si="8"/>
        <v>4.0570833333330896</v>
      </c>
      <c r="G85" s="74">
        <f t="shared" si="9"/>
        <v>3.8297142857142852</v>
      </c>
      <c r="H85" s="74">
        <f t="shared" si="10"/>
        <v>4.1589880952380485</v>
      </c>
      <c r="I85" s="74">
        <f t="shared" ref="I85:I148" si="12">SUM(E71:E99)/29</f>
        <v>4.1531954022988504</v>
      </c>
      <c r="J85" s="74">
        <f t="shared" ref="J85:J148" si="13">SUM(F71:F99)/29</f>
        <v>4.3922270114942501</v>
      </c>
    </row>
    <row r="86" spans="1:11">
      <c r="A86" s="122">
        <v>1.6000000000000014</v>
      </c>
      <c r="B86" s="71">
        <v>43818</v>
      </c>
      <c r="C86" s="30">
        <f t="shared" si="11"/>
        <v>2.0679999999999992</v>
      </c>
      <c r="D86" s="74">
        <v>4872.8</v>
      </c>
      <c r="E86" s="74">
        <f t="shared" si="7"/>
        <v>4.4773333333333332</v>
      </c>
      <c r="F86" s="74">
        <f t="shared" si="8"/>
        <v>4.0570833333334955</v>
      </c>
      <c r="G86" s="74">
        <f t="shared" si="9"/>
        <v>3.8106666666666662</v>
      </c>
      <c r="H86" s="74">
        <f t="shared" si="10"/>
        <v>4.0188690476189546</v>
      </c>
      <c r="I86" s="74">
        <f t="shared" si="12"/>
        <v>4.1669885057471259</v>
      </c>
      <c r="J86" s="74">
        <f t="shared" si="13"/>
        <v>4.3953017241379255</v>
      </c>
      <c r="K86" s="123"/>
    </row>
    <row r="87" spans="1:11">
      <c r="A87" s="122">
        <v>5.1000000000000014</v>
      </c>
      <c r="B87" s="71">
        <v>43819</v>
      </c>
      <c r="C87" s="30">
        <f t="shared" si="11"/>
        <v>1.4680000000000013</v>
      </c>
      <c r="D87" s="74">
        <v>4880.3999999999996</v>
      </c>
      <c r="E87" s="74">
        <f t="shared" si="7"/>
        <v>4.6773333333333333</v>
      </c>
      <c r="F87" s="74">
        <f t="shared" si="8"/>
        <v>3.3883333333330898</v>
      </c>
      <c r="G87" s="74">
        <f t="shared" si="9"/>
        <v>4.0344761904761901</v>
      </c>
      <c r="H87" s="74">
        <f t="shared" si="10"/>
        <v>3.8914880952380022</v>
      </c>
      <c r="I87" s="74">
        <f t="shared" si="12"/>
        <v>4.2485977011494249</v>
      </c>
      <c r="J87" s="74">
        <f t="shared" si="13"/>
        <v>4.4091379310344863</v>
      </c>
      <c r="K87" s="123"/>
    </row>
    <row r="88" spans="1:11">
      <c r="A88" s="122">
        <v>5.5</v>
      </c>
      <c r="B88" s="71">
        <v>43820</v>
      </c>
      <c r="C88" s="30">
        <f t="shared" si="11"/>
        <v>4.9680000000000017</v>
      </c>
      <c r="D88" s="126">
        <v>4888.7999999999993</v>
      </c>
      <c r="E88" s="74">
        <f t="shared" si="7"/>
        <v>3.5106666666666659</v>
      </c>
      <c r="F88" s="74">
        <f t="shared" si="8"/>
        <v>3.7449999999998376</v>
      </c>
      <c r="G88" s="74">
        <f t="shared" si="9"/>
        <v>4.0344761904761901</v>
      </c>
      <c r="H88" s="74">
        <f t="shared" si="10"/>
        <v>3.7832142857141462</v>
      </c>
      <c r="I88" s="74">
        <f t="shared" si="12"/>
        <v>4.2302068965517234</v>
      </c>
      <c r="J88" s="74">
        <f t="shared" si="13"/>
        <v>4.410675287356316</v>
      </c>
      <c r="K88" s="127"/>
    </row>
    <row r="89" spans="1:11">
      <c r="A89" s="122">
        <v>2.8999999999999986</v>
      </c>
      <c r="B89" s="71">
        <v>43821</v>
      </c>
      <c r="C89" s="30">
        <f t="shared" si="11"/>
        <v>5.3680000000000003</v>
      </c>
      <c r="D89" s="126">
        <v>4897.1999999999989</v>
      </c>
      <c r="E89" s="74">
        <f t="shared" si="7"/>
        <v>3.3773333333333331</v>
      </c>
      <c r="F89" s="74">
        <f t="shared" si="8"/>
        <v>3.7449999999998376</v>
      </c>
      <c r="G89" s="74">
        <f t="shared" si="9"/>
        <v>3.8582857142857141</v>
      </c>
      <c r="H89" s="74">
        <f t="shared" si="10"/>
        <v>3.7450000000000112</v>
      </c>
      <c r="I89" s="74">
        <f t="shared" si="12"/>
        <v>4.1853793103448265</v>
      </c>
      <c r="J89" s="74">
        <f t="shared" si="13"/>
        <v>4.3645545977011588</v>
      </c>
    </row>
    <row r="90" spans="1:11">
      <c r="A90" s="122">
        <v>6.1000000000000014</v>
      </c>
      <c r="B90" s="71">
        <v>43822</v>
      </c>
      <c r="C90" s="30">
        <f t="shared" si="11"/>
        <v>2.7679999999999985</v>
      </c>
      <c r="D90" s="126">
        <v>4905.5999999999985</v>
      </c>
      <c r="E90" s="74">
        <f t="shared" si="7"/>
        <v>4.2440000000000007</v>
      </c>
      <c r="F90" s="74">
        <f t="shared" si="8"/>
        <v>3.7449999999998376</v>
      </c>
      <c r="G90" s="74">
        <f t="shared" si="9"/>
        <v>3.6725714285714282</v>
      </c>
      <c r="H90" s="74">
        <f t="shared" si="10"/>
        <v>3.6367261904761556</v>
      </c>
      <c r="I90" s="74">
        <f t="shared" si="12"/>
        <v>4.248597701149424</v>
      </c>
      <c r="J90" s="74">
        <f t="shared" si="13"/>
        <v>4.3953017241379255</v>
      </c>
    </row>
    <row r="91" spans="1:11">
      <c r="A91" s="122">
        <v>5</v>
      </c>
      <c r="B91" s="71">
        <v>43823</v>
      </c>
      <c r="C91" s="30">
        <f t="shared" si="11"/>
        <v>5.9680000000000017</v>
      </c>
      <c r="D91" s="126">
        <v>4913.9999999999982</v>
      </c>
      <c r="E91" s="74">
        <f t="shared" si="7"/>
        <v>3.1773333333333325</v>
      </c>
      <c r="F91" s="74">
        <f t="shared" si="8"/>
        <v>3.7449999999998376</v>
      </c>
      <c r="G91" s="74">
        <f t="shared" si="9"/>
        <v>3.563047619047619</v>
      </c>
      <c r="H91" s="74">
        <f t="shared" si="10"/>
        <v>3.674940476190522</v>
      </c>
      <c r="I91" s="74">
        <f t="shared" si="12"/>
        <v>4.3348045977011482</v>
      </c>
      <c r="J91" s="74">
        <f t="shared" si="13"/>
        <v>4.4275862068965521</v>
      </c>
      <c r="K91" s="74"/>
    </row>
    <row r="92" spans="1:11">
      <c r="A92" s="122">
        <v>6.1000000000000014</v>
      </c>
      <c r="B92" s="71">
        <v>43824</v>
      </c>
      <c r="C92" s="30">
        <f t="shared" si="11"/>
        <v>4.8680000000000003</v>
      </c>
      <c r="D92" s="74">
        <v>4922.5</v>
      </c>
      <c r="E92" s="74">
        <f t="shared" si="7"/>
        <v>3.5439999999999996</v>
      </c>
      <c r="F92" s="74">
        <f t="shared" si="8"/>
        <v>3.7895833333341442</v>
      </c>
      <c r="G92" s="74">
        <f t="shared" si="9"/>
        <v>3.6773333333333333</v>
      </c>
      <c r="H92" s="74">
        <f t="shared" si="10"/>
        <v>3.6176190476191166</v>
      </c>
      <c r="I92" s="74">
        <f t="shared" si="12"/>
        <v>4.4221609195402296</v>
      </c>
      <c r="J92" s="74">
        <f t="shared" si="13"/>
        <v>4.4783189655172446</v>
      </c>
    </row>
    <row r="93" spans="1:11">
      <c r="A93" s="122">
        <v>3.8999999999999986</v>
      </c>
      <c r="B93" s="71">
        <v>43825</v>
      </c>
      <c r="C93" s="30">
        <f t="shared" si="11"/>
        <v>5.9680000000000017</v>
      </c>
      <c r="D93" s="74">
        <v>4929.8999999999996</v>
      </c>
      <c r="E93" s="74">
        <f t="shared" si="7"/>
        <v>3.1773333333333325</v>
      </c>
      <c r="F93" s="74">
        <f t="shared" si="8"/>
        <v>3.2991666666665043</v>
      </c>
      <c r="G93" s="74">
        <f t="shared" si="9"/>
        <v>3.9106666666666667</v>
      </c>
      <c r="H93" s="74">
        <f t="shared" si="10"/>
        <v>3.5794047619048084</v>
      </c>
      <c r="I93" s="74">
        <f t="shared" si="12"/>
        <v>4.4187126436781599</v>
      </c>
      <c r="J93" s="74">
        <f t="shared" si="13"/>
        <v>4.5336637931034565</v>
      </c>
    </row>
    <row r="94" spans="1:11">
      <c r="A94" s="122">
        <v>2.6999999999999993</v>
      </c>
      <c r="B94" s="71">
        <v>43826</v>
      </c>
      <c r="C94" s="30">
        <f t="shared" si="11"/>
        <v>3.7679999999999985</v>
      </c>
      <c r="D94" s="74">
        <v>4938.1000000000004</v>
      </c>
      <c r="E94" s="74">
        <f t="shared" si="7"/>
        <v>3.9106666666666667</v>
      </c>
      <c r="F94" s="74">
        <f t="shared" si="8"/>
        <v>3.6558333333336575</v>
      </c>
      <c r="G94" s="74">
        <f t="shared" si="9"/>
        <v>4.091619047619047</v>
      </c>
      <c r="H94" s="74">
        <f t="shared" si="10"/>
        <v>3.7895833333334497</v>
      </c>
      <c r="I94" s="74">
        <f t="shared" si="12"/>
        <v>4.3359540229885045</v>
      </c>
      <c r="J94" s="74">
        <f t="shared" si="13"/>
        <v>4.5475000000000021</v>
      </c>
    </row>
    <row r="95" spans="1:11">
      <c r="A95" s="122">
        <v>0.60000000000000142</v>
      </c>
      <c r="B95" s="71">
        <v>43827</v>
      </c>
      <c r="C95" s="30">
        <f t="shared" si="11"/>
        <v>2.5679999999999992</v>
      </c>
      <c r="D95" s="74">
        <v>4945.6000000000004</v>
      </c>
      <c r="E95" s="74">
        <f t="shared" si="7"/>
        <v>4.3106666666666662</v>
      </c>
      <c r="F95" s="74">
        <f t="shared" si="8"/>
        <v>3.34375</v>
      </c>
      <c r="G95" s="74">
        <f t="shared" si="9"/>
        <v>4.3773333333333326</v>
      </c>
      <c r="H95" s="74">
        <f t="shared" si="10"/>
        <v>4.0952976190477468</v>
      </c>
      <c r="I95" s="74">
        <f t="shared" si="12"/>
        <v>4.2508965517241366</v>
      </c>
      <c r="J95" s="74">
        <f t="shared" si="13"/>
        <v>4.5290517241379362</v>
      </c>
    </row>
    <row r="96" spans="1:11">
      <c r="A96" s="122">
        <v>-0.89999999999999858</v>
      </c>
      <c r="B96" s="71">
        <v>43828</v>
      </c>
      <c r="C96" s="30">
        <f t="shared" si="11"/>
        <v>0.46800000000000141</v>
      </c>
      <c r="D96" s="74">
        <v>4953.3999999999996</v>
      </c>
      <c r="E96" s="74">
        <f t="shared" si="7"/>
        <v>5.0106666666666664</v>
      </c>
      <c r="F96" s="74">
        <f t="shared" si="8"/>
        <v>3.4774999999996754</v>
      </c>
      <c r="G96" s="74">
        <f t="shared" si="9"/>
        <v>4.4582857142857142</v>
      </c>
      <c r="H96" s="74">
        <f t="shared" si="10"/>
        <v>4.1398809523809526</v>
      </c>
      <c r="I96" s="74">
        <f t="shared" si="12"/>
        <v>4.2198620689655169</v>
      </c>
      <c r="J96" s="74">
        <f t="shared" si="13"/>
        <v>4.4952298850574648</v>
      </c>
    </row>
    <row r="97" spans="1:13">
      <c r="A97" s="122">
        <v>0.10000000000000142</v>
      </c>
      <c r="B97" s="71">
        <v>43829</v>
      </c>
      <c r="C97" s="30">
        <f t="shared" si="11"/>
        <v>-1.0319999999999987</v>
      </c>
      <c r="D97" s="74">
        <v>4965.1000000000004</v>
      </c>
      <c r="E97" s="74">
        <f t="shared" si="7"/>
        <v>5.5106666666666664</v>
      </c>
      <c r="F97" s="74">
        <f t="shared" si="8"/>
        <v>5.2162500000003238</v>
      </c>
      <c r="G97" s="74">
        <f t="shared" si="9"/>
        <v>4.720190476190476</v>
      </c>
      <c r="H97" s="74">
        <f t="shared" si="10"/>
        <v>4.2736309523809748</v>
      </c>
      <c r="I97" s="74">
        <f t="shared" si="12"/>
        <v>4.2646896551724129</v>
      </c>
      <c r="J97" s="74">
        <f t="shared" si="13"/>
        <v>4.5275143678160914</v>
      </c>
    </row>
    <row r="98" spans="1:13">
      <c r="A98" s="122">
        <v>3.3000000000000007</v>
      </c>
      <c r="B98" s="71">
        <v>43830</v>
      </c>
      <c r="C98" s="30">
        <f t="shared" si="11"/>
        <v>-3.1999999999998585E-2</v>
      </c>
      <c r="D98" s="74">
        <v>4978.3</v>
      </c>
      <c r="E98" s="74">
        <f t="shared" si="7"/>
        <v>5.1773333333333333</v>
      </c>
      <c r="F98" s="74">
        <f t="shared" si="8"/>
        <v>5.884999999999919</v>
      </c>
      <c r="G98" s="74">
        <f t="shared" si="9"/>
        <v>5.1535238095238096</v>
      </c>
      <c r="H98" s="74">
        <f t="shared" si="10"/>
        <v>4.5283928571428218</v>
      </c>
      <c r="I98" s="74">
        <f t="shared" si="12"/>
        <v>4.3187126436781602</v>
      </c>
      <c r="J98" s="74">
        <f t="shared" si="13"/>
        <v>4.5613362068965486</v>
      </c>
      <c r="K98" s="129"/>
    </row>
    <row r="99" spans="1:13">
      <c r="A99" s="122">
        <v>0.60000000000000142</v>
      </c>
      <c r="B99" s="71">
        <v>43831</v>
      </c>
      <c r="C99" s="30">
        <f t="shared" si="11"/>
        <v>3.1680000000000006</v>
      </c>
      <c r="D99" s="74">
        <v>4987.5</v>
      </c>
      <c r="E99" s="74">
        <f t="shared" si="7"/>
        <v>4.110666666666666</v>
      </c>
      <c r="F99" s="74">
        <f t="shared" si="8"/>
        <v>4.1016666666665857</v>
      </c>
      <c r="G99" s="74">
        <f t="shared" si="9"/>
        <v>5.2582857142857131</v>
      </c>
      <c r="H99" s="74">
        <f t="shared" si="10"/>
        <v>4.8341071428571194</v>
      </c>
      <c r="I99" s="74">
        <f t="shared" si="12"/>
        <v>4.3727356321839075</v>
      </c>
      <c r="J99" s="74">
        <f t="shared" si="13"/>
        <v>4.6074568965517217</v>
      </c>
    </row>
    <row r="100" spans="1:13">
      <c r="A100" s="122">
        <v>-5.2000000000000028</v>
      </c>
      <c r="B100" s="71">
        <v>43832</v>
      </c>
      <c r="C100" s="30">
        <f t="shared" si="11"/>
        <v>0.46800000000000141</v>
      </c>
      <c r="D100" s="74">
        <v>4997</v>
      </c>
      <c r="E100" s="74">
        <f t="shared" si="7"/>
        <v>5.0106666666666664</v>
      </c>
      <c r="F100" s="74">
        <f t="shared" si="8"/>
        <v>4.2354166666666666</v>
      </c>
      <c r="G100" s="74">
        <f t="shared" si="9"/>
        <v>5.0868571428571423</v>
      </c>
      <c r="H100" s="74">
        <f t="shared" si="10"/>
        <v>4.9933333333333678</v>
      </c>
      <c r="I100" s="74">
        <f t="shared" si="12"/>
        <v>4.3922758620689644</v>
      </c>
      <c r="J100" s="74">
        <f t="shared" si="13"/>
        <v>4.6628017241379327</v>
      </c>
    </row>
    <row r="101" spans="1:13">
      <c r="A101" s="122">
        <v>0.5</v>
      </c>
      <c r="B101" s="71">
        <v>43833</v>
      </c>
      <c r="C101" s="30">
        <f t="shared" si="11"/>
        <v>-5.3320000000000025</v>
      </c>
      <c r="D101" s="126">
        <v>5009.2</v>
      </c>
      <c r="E101" s="74">
        <f t="shared" si="7"/>
        <v>6.944</v>
      </c>
      <c r="F101" s="74">
        <f t="shared" si="8"/>
        <v>5.4391666666665843</v>
      </c>
      <c r="G101" s="74">
        <f t="shared" si="9"/>
        <v>4.9916190476190474</v>
      </c>
      <c r="H101" s="74">
        <f t="shared" si="10"/>
        <v>5.0060714285713939</v>
      </c>
      <c r="I101" s="74">
        <f t="shared" si="12"/>
        <v>4.4175632183908036</v>
      </c>
      <c r="J101" s="74">
        <f t="shared" si="13"/>
        <v>4.7181465517241312</v>
      </c>
    </row>
    <row r="102" spans="1:13">
      <c r="A102" s="122">
        <v>4.1999999999999993</v>
      </c>
      <c r="B102" s="71">
        <v>43834</v>
      </c>
      <c r="C102" s="30">
        <f t="shared" si="11"/>
        <v>0.36799999999999999</v>
      </c>
      <c r="D102" s="74">
        <v>5021.5</v>
      </c>
      <c r="E102" s="74">
        <f t="shared" si="7"/>
        <v>5.0439999999999996</v>
      </c>
      <c r="F102" s="74">
        <f t="shared" si="8"/>
        <v>5.4837500000000814</v>
      </c>
      <c r="G102" s="74">
        <f t="shared" si="9"/>
        <v>4.9678095238095228</v>
      </c>
      <c r="H102" s="74">
        <f t="shared" si="10"/>
        <v>4.9614880952380718</v>
      </c>
      <c r="I102" s="74">
        <f t="shared" si="12"/>
        <v>4.4359540229885051</v>
      </c>
      <c r="J102" s="74">
        <f t="shared" si="13"/>
        <v>4.8042385057471249</v>
      </c>
      <c r="K102" s="74"/>
    </row>
    <row r="103" spans="1:13">
      <c r="A103" s="122">
        <v>1.1000000000000014</v>
      </c>
      <c r="B103" s="71">
        <v>43835</v>
      </c>
      <c r="C103" s="30">
        <f t="shared" si="11"/>
        <v>4.0679999999999996</v>
      </c>
      <c r="D103" s="74">
        <v>5031.8</v>
      </c>
      <c r="E103" s="74">
        <f t="shared" si="7"/>
        <v>3.8106666666666671</v>
      </c>
      <c r="F103" s="74">
        <f t="shared" si="8"/>
        <v>4.5920833333334139</v>
      </c>
      <c r="G103" s="74">
        <f t="shared" si="9"/>
        <v>5.1201904761904746</v>
      </c>
      <c r="H103" s="74">
        <f t="shared" si="10"/>
        <v>5.1270833333333323</v>
      </c>
      <c r="I103" s="74">
        <f t="shared" si="12"/>
        <v>4.4830804597701146</v>
      </c>
      <c r="J103" s="74">
        <f t="shared" si="13"/>
        <v>4.8764942528735737</v>
      </c>
    </row>
    <row r="104" spans="1:13">
      <c r="A104" s="122">
        <v>0.60000000000000142</v>
      </c>
      <c r="B104" s="71">
        <v>43836</v>
      </c>
      <c r="C104" s="30">
        <f t="shared" si="11"/>
        <v>0.96800000000000141</v>
      </c>
      <c r="D104" s="74">
        <v>5043.7</v>
      </c>
      <c r="E104" s="74">
        <f t="shared" si="7"/>
        <v>4.8439999999999994</v>
      </c>
      <c r="F104" s="74">
        <f t="shared" si="8"/>
        <v>5.3054166666665044</v>
      </c>
      <c r="G104" s="74">
        <f t="shared" si="9"/>
        <v>4.9916190476190465</v>
      </c>
      <c r="H104" s="74">
        <f t="shared" si="10"/>
        <v>5.3563690476190695</v>
      </c>
      <c r="I104" s="74">
        <f t="shared" si="12"/>
        <v>4.5302068965517241</v>
      </c>
      <c r="J104" s="74">
        <f t="shared" si="13"/>
        <v>4.9195402298850714</v>
      </c>
    </row>
    <row r="105" spans="1:13">
      <c r="A105" s="122">
        <v>0.10000000000000142</v>
      </c>
      <c r="B105" s="71">
        <v>43837</v>
      </c>
      <c r="C105" s="30">
        <f t="shared" si="11"/>
        <v>0.46800000000000141</v>
      </c>
      <c r="D105" s="74">
        <v>5056.2</v>
      </c>
      <c r="E105" s="74">
        <f t="shared" si="7"/>
        <v>5.0106666666666664</v>
      </c>
      <c r="F105" s="74">
        <f t="shared" si="8"/>
        <v>5.572916666666667</v>
      </c>
      <c r="G105" s="74">
        <f t="shared" si="9"/>
        <v>4.4535238095238094</v>
      </c>
      <c r="H105" s="74">
        <f t="shared" si="10"/>
        <v>5.4073214285714633</v>
      </c>
      <c r="I105" s="74">
        <f t="shared" si="12"/>
        <v>4.5520459770114945</v>
      </c>
      <c r="J105" s="74">
        <f t="shared" si="13"/>
        <v>4.9671982758620876</v>
      </c>
    </row>
    <row r="106" spans="1:13">
      <c r="A106" s="122">
        <v>3.3000000000000007</v>
      </c>
      <c r="B106" s="71">
        <v>43838</v>
      </c>
      <c r="C106" s="30">
        <f t="shared" si="11"/>
        <v>-3.1999999999998585E-2</v>
      </c>
      <c r="D106" s="74">
        <v>5068</v>
      </c>
      <c r="E106" s="74">
        <f t="shared" si="7"/>
        <v>5.1773333333333333</v>
      </c>
      <c r="F106" s="74">
        <f t="shared" si="8"/>
        <v>5.2608333333334141</v>
      </c>
      <c r="G106" s="74">
        <f t="shared" si="9"/>
        <v>4.1154285714285717</v>
      </c>
      <c r="H106" s="74">
        <f t="shared" si="10"/>
        <v>5.3882142857143096</v>
      </c>
      <c r="I106" s="74">
        <f t="shared" si="12"/>
        <v>4.6543448275862067</v>
      </c>
      <c r="J106" s="74">
        <f t="shared" si="13"/>
        <v>5.0179310344827801</v>
      </c>
    </row>
    <row r="107" spans="1:13">
      <c r="A107" s="122">
        <v>6.1000000000000014</v>
      </c>
      <c r="B107" s="71">
        <v>43839</v>
      </c>
      <c r="C107" s="30">
        <f t="shared" si="11"/>
        <v>3.1680000000000006</v>
      </c>
      <c r="D107" s="74">
        <v>5081.1000000000004</v>
      </c>
      <c r="E107" s="74">
        <f t="shared" si="7"/>
        <v>4.110666666666666</v>
      </c>
      <c r="F107" s="74">
        <f t="shared" si="8"/>
        <v>5.8404166666668287</v>
      </c>
      <c r="G107" s="74">
        <f t="shared" si="9"/>
        <v>4.1725714285714286</v>
      </c>
      <c r="H107" s="74">
        <f t="shared" si="10"/>
        <v>5.3563690476190127</v>
      </c>
      <c r="I107" s="74">
        <f t="shared" si="12"/>
        <v>4.7221609195402312</v>
      </c>
      <c r="J107" s="74">
        <f t="shared" si="13"/>
        <v>5.0594396551724188</v>
      </c>
      <c r="M107" s="74"/>
    </row>
    <row r="108" spans="1:13">
      <c r="A108" s="122">
        <v>7.6000000000000014</v>
      </c>
      <c r="B108" s="71">
        <v>43840</v>
      </c>
      <c r="C108" s="30">
        <f t="shared" si="11"/>
        <v>5.9680000000000017</v>
      </c>
      <c r="D108" s="74">
        <v>5094.1000000000004</v>
      </c>
      <c r="E108" s="74">
        <f t="shared" si="7"/>
        <v>3.1773333333333325</v>
      </c>
      <c r="F108" s="74">
        <f t="shared" si="8"/>
        <v>5.7958333333333334</v>
      </c>
      <c r="G108" s="74">
        <f t="shared" si="9"/>
        <v>4.167809523809523</v>
      </c>
      <c r="H108" s="74">
        <f t="shared" si="10"/>
        <v>5.4073214285714633</v>
      </c>
      <c r="I108" s="74">
        <f t="shared" si="12"/>
        <v>4.7784827586206902</v>
      </c>
      <c r="J108" s="74">
        <f t="shared" si="13"/>
        <v>5.1532183908046081</v>
      </c>
    </row>
    <row r="109" spans="1:13">
      <c r="A109" s="122">
        <v>3</v>
      </c>
      <c r="B109" s="71">
        <v>43841</v>
      </c>
      <c r="C109" s="30">
        <f t="shared" si="11"/>
        <v>7.4680000000000017</v>
      </c>
      <c r="D109" s="74">
        <v>5106.1000000000004</v>
      </c>
      <c r="E109" s="74">
        <f t="shared" si="7"/>
        <v>2.6773333333333325</v>
      </c>
      <c r="F109" s="74">
        <f t="shared" si="8"/>
        <v>5.3499999999999988</v>
      </c>
      <c r="G109" s="74">
        <f t="shared" si="9"/>
        <v>4.0582857142857138</v>
      </c>
      <c r="H109" s="74">
        <f t="shared" si="10"/>
        <v>5.4136904761904754</v>
      </c>
      <c r="I109" s="74">
        <f t="shared" si="12"/>
        <v>4.8485977011494246</v>
      </c>
      <c r="J109" s="74">
        <f t="shared" si="13"/>
        <v>5.2270114942528725</v>
      </c>
      <c r="K109" s="127" t="s">
        <v>386</v>
      </c>
    </row>
    <row r="110" spans="1:13">
      <c r="A110" s="122">
        <v>1.1999999999999993</v>
      </c>
      <c r="B110" s="71">
        <v>43842</v>
      </c>
      <c r="C110" s="30">
        <f t="shared" si="11"/>
        <v>2.8679999999999999</v>
      </c>
      <c r="D110" s="74">
        <v>5115.8999999999996</v>
      </c>
      <c r="E110" s="74">
        <f t="shared" si="7"/>
        <v>4.2106666666666666</v>
      </c>
      <c r="F110" s="74">
        <f t="shared" si="8"/>
        <v>4.3691666666663425</v>
      </c>
      <c r="G110" s="74">
        <f t="shared" si="9"/>
        <v>3.9963809523809521</v>
      </c>
      <c r="H110" s="74">
        <f t="shared" si="10"/>
        <v>5.4964880952381066</v>
      </c>
      <c r="I110" s="74">
        <f t="shared" si="12"/>
        <v>4.8899770114942536</v>
      </c>
      <c r="J110" s="74">
        <f t="shared" si="13"/>
        <v>5.3131034482758528</v>
      </c>
      <c r="K110" s="123">
        <v>367.1</v>
      </c>
    </row>
    <row r="111" spans="1:13">
      <c r="A111" s="122">
        <v>2.8999999999999986</v>
      </c>
      <c r="B111" s="71">
        <v>43843</v>
      </c>
      <c r="C111" s="30">
        <f t="shared" si="11"/>
        <v>1.0679999999999992</v>
      </c>
      <c r="D111" s="74">
        <v>5128.6000000000004</v>
      </c>
      <c r="E111" s="74">
        <f t="shared" si="7"/>
        <v>4.8106666666666662</v>
      </c>
      <c r="F111" s="74">
        <f t="shared" si="8"/>
        <v>5.6620833333336575</v>
      </c>
      <c r="G111" s="74">
        <f t="shared" si="9"/>
        <v>4.1725714285714286</v>
      </c>
      <c r="H111" s="74">
        <f t="shared" si="10"/>
        <v>5.4710119047618804</v>
      </c>
      <c r="I111" s="74">
        <f t="shared" si="12"/>
        <v>4.9049195402298844</v>
      </c>
      <c r="J111" s="74">
        <f t="shared" si="13"/>
        <v>5.3991954022988606</v>
      </c>
      <c r="K111" s="127" t="s">
        <v>379</v>
      </c>
    </row>
    <row r="112" spans="1:13">
      <c r="A112" s="122">
        <v>1.3999999999999986</v>
      </c>
      <c r="B112" s="71">
        <v>43844</v>
      </c>
      <c r="C112" s="30">
        <f t="shared" si="11"/>
        <v>2.7679999999999985</v>
      </c>
      <c r="D112" s="74">
        <v>5141.2</v>
      </c>
      <c r="E112" s="74">
        <f t="shared" si="7"/>
        <v>4.2440000000000007</v>
      </c>
      <c r="F112" s="74">
        <f t="shared" si="8"/>
        <v>5.6174999999997555</v>
      </c>
      <c r="G112" s="74">
        <f t="shared" si="9"/>
        <v>4.4630476190476189</v>
      </c>
      <c r="H112" s="74">
        <f t="shared" si="10"/>
        <v>5.4519047619047267</v>
      </c>
      <c r="I112" s="74">
        <f t="shared" si="12"/>
        <v>4.8784827586206898</v>
      </c>
      <c r="J112" s="74">
        <f t="shared" si="13"/>
        <v>5.4268678160919537</v>
      </c>
      <c r="K112" s="127">
        <v>354.70000000000005</v>
      </c>
    </row>
    <row r="113" spans="1:12">
      <c r="A113" s="122">
        <v>-0.39999999999999858</v>
      </c>
      <c r="B113" s="71">
        <v>43845</v>
      </c>
      <c r="C113" s="30">
        <f t="shared" si="11"/>
        <v>1.2679999999999985</v>
      </c>
      <c r="D113" s="74">
        <v>5154.3</v>
      </c>
      <c r="E113" s="74">
        <f t="shared" si="7"/>
        <v>4.7440000000000007</v>
      </c>
      <c r="F113" s="74">
        <f t="shared" si="8"/>
        <v>5.8404166666668287</v>
      </c>
      <c r="G113" s="74">
        <f t="shared" si="9"/>
        <v>4.8249523809523813</v>
      </c>
      <c r="H113" s="74">
        <f t="shared" si="10"/>
        <v>5.5283333333332871</v>
      </c>
      <c r="I113" s="74">
        <f t="shared" si="12"/>
        <v>4.8325057471264365</v>
      </c>
      <c r="J113" s="74">
        <f t="shared" si="13"/>
        <v>5.4222557471264334</v>
      </c>
      <c r="L113" s="74"/>
    </row>
    <row r="114" spans="1:12">
      <c r="A114" s="122">
        <v>0</v>
      </c>
      <c r="B114" s="71">
        <v>43846</v>
      </c>
      <c r="C114" s="30">
        <f t="shared" si="11"/>
        <v>-0.53199999999999859</v>
      </c>
      <c r="D114" s="126">
        <v>5167</v>
      </c>
      <c r="E114" s="74">
        <f t="shared" si="7"/>
        <v>5.3439999999999994</v>
      </c>
      <c r="F114" s="74">
        <f t="shared" si="8"/>
        <v>5.6620833333332525</v>
      </c>
      <c r="G114" s="74">
        <f t="shared" si="9"/>
        <v>4.9201904761904762</v>
      </c>
      <c r="H114" s="74">
        <f t="shared" si="10"/>
        <v>5.7385119047619275</v>
      </c>
      <c r="I114" s="74">
        <f t="shared" si="12"/>
        <v>4.8417011494252877</v>
      </c>
      <c r="J114" s="74">
        <f t="shared" si="13"/>
        <v>5.4729885057471259</v>
      </c>
    </row>
    <row r="115" spans="1:12">
      <c r="A115" s="122">
        <v>0</v>
      </c>
      <c r="B115" s="71">
        <v>43847</v>
      </c>
      <c r="C115" s="30">
        <f t="shared" si="11"/>
        <v>-0.13200000000000001</v>
      </c>
      <c r="D115" s="74">
        <v>5179.7</v>
      </c>
      <c r="E115" s="74">
        <f t="shared" si="7"/>
        <v>5.2106666666666666</v>
      </c>
      <c r="F115" s="74">
        <f t="shared" si="8"/>
        <v>5.6620833333332525</v>
      </c>
      <c r="G115" s="74">
        <f t="shared" si="9"/>
        <v>4.9106666666666667</v>
      </c>
      <c r="H115" s="74">
        <f t="shared" si="10"/>
        <v>5.6429761904761557</v>
      </c>
      <c r="I115" s="74">
        <f t="shared" si="12"/>
        <v>4.8026206896551722</v>
      </c>
      <c r="J115" s="74">
        <f t="shared" si="13"/>
        <v>5.4975862068965569</v>
      </c>
    </row>
    <row r="116" spans="1:12">
      <c r="A116" s="122">
        <v>1</v>
      </c>
      <c r="B116" s="71">
        <v>43848</v>
      </c>
      <c r="C116" s="30">
        <f t="shared" si="11"/>
        <v>-0.13200000000000001</v>
      </c>
      <c r="D116" s="126">
        <v>5192.8999999999996</v>
      </c>
      <c r="E116" s="74">
        <f t="shared" si="7"/>
        <v>5.2106666666666666</v>
      </c>
      <c r="F116" s="74">
        <f t="shared" si="8"/>
        <v>5.884999999999919</v>
      </c>
      <c r="G116" s="74">
        <f t="shared" si="9"/>
        <v>5.0011428571428578</v>
      </c>
      <c r="H116" s="74">
        <f t="shared" si="10"/>
        <v>5.5729166666666661</v>
      </c>
      <c r="I116" s="74">
        <f t="shared" si="12"/>
        <v>4.6256091954022986</v>
      </c>
      <c r="J116" s="74">
        <f t="shared" si="13"/>
        <v>5.4391666666666687</v>
      </c>
    </row>
    <row r="117" spans="1:12">
      <c r="A117" s="122">
        <v>1.3999999999999986</v>
      </c>
      <c r="B117" s="71">
        <v>43849</v>
      </c>
      <c r="C117" s="30">
        <f t="shared" si="11"/>
        <v>0.86799999999999999</v>
      </c>
      <c r="D117" s="74">
        <v>5206</v>
      </c>
      <c r="E117" s="74">
        <f t="shared" si="7"/>
        <v>4.8773333333333335</v>
      </c>
      <c r="F117" s="74">
        <f t="shared" si="8"/>
        <v>5.8404166666668287</v>
      </c>
      <c r="G117" s="74">
        <f t="shared" si="9"/>
        <v>5.2011428571428571</v>
      </c>
      <c r="H117" s="74">
        <f t="shared" si="10"/>
        <v>5.483749999999965</v>
      </c>
      <c r="I117" s="74">
        <f t="shared" si="12"/>
        <v>4.4980229885057481</v>
      </c>
      <c r="J117" s="74">
        <f t="shared" si="13"/>
        <v>5.2885057471264361</v>
      </c>
    </row>
    <row r="118" spans="1:12">
      <c r="A118" s="122">
        <v>1</v>
      </c>
      <c r="B118" s="71">
        <v>43850</v>
      </c>
      <c r="C118" s="30">
        <f t="shared" si="11"/>
        <v>1.2679999999999985</v>
      </c>
      <c r="D118" s="74">
        <v>5217.2</v>
      </c>
      <c r="E118" s="74">
        <f t="shared" si="7"/>
        <v>4.7440000000000007</v>
      </c>
      <c r="F118" s="74">
        <f t="shared" si="8"/>
        <v>4.9933333333332515</v>
      </c>
      <c r="G118" s="74">
        <f t="shared" si="9"/>
        <v>5.2249523809523808</v>
      </c>
      <c r="H118" s="74">
        <f t="shared" si="10"/>
        <v>5.3882142857143078</v>
      </c>
      <c r="I118" s="74">
        <f t="shared" si="12"/>
        <v>4.4508965517241377</v>
      </c>
      <c r="J118" s="74">
        <f t="shared" si="13"/>
        <v>5.2239367816091979</v>
      </c>
    </row>
    <row r="119" spans="1:12">
      <c r="A119" s="122">
        <v>-2.7999999999999972</v>
      </c>
      <c r="B119" s="71">
        <v>43851</v>
      </c>
      <c r="C119" s="30">
        <f t="shared" si="11"/>
        <v>0.86799999999999999</v>
      </c>
      <c r="D119" s="74">
        <v>5228.7</v>
      </c>
      <c r="E119" s="74">
        <f t="shared" si="7"/>
        <v>4.8773333333333335</v>
      </c>
      <c r="F119" s="74">
        <f t="shared" si="8"/>
        <v>5.1270833333333332</v>
      </c>
      <c r="G119" s="74">
        <f t="shared" si="9"/>
        <v>5.1678095238095239</v>
      </c>
      <c r="H119" s="74">
        <f t="shared" si="10"/>
        <v>5.4391666666667007</v>
      </c>
      <c r="I119" s="74">
        <f t="shared" si="12"/>
        <v>4.3566436781609195</v>
      </c>
      <c r="J119" s="74">
        <f t="shared" si="13"/>
        <v>5.1562931034482835</v>
      </c>
    </row>
    <row r="120" spans="1:12">
      <c r="A120" s="122">
        <v>-0.89999999999999858</v>
      </c>
      <c r="B120" s="71">
        <v>43852</v>
      </c>
      <c r="C120" s="30">
        <f t="shared" si="11"/>
        <v>-2.9319999999999973</v>
      </c>
      <c r="D120" s="74">
        <v>5240.3999999999996</v>
      </c>
      <c r="E120" s="74">
        <f t="shared" si="7"/>
        <v>6.1440000000000001</v>
      </c>
      <c r="F120" s="74">
        <f t="shared" si="8"/>
        <v>5.2162499999999188</v>
      </c>
      <c r="G120" s="74">
        <f t="shared" si="9"/>
        <v>5.2725714285714291</v>
      </c>
      <c r="H120" s="74">
        <f t="shared" si="10"/>
        <v>5.4264285714286169</v>
      </c>
      <c r="I120" s="74">
        <f t="shared" si="12"/>
        <v>4.3187126436781611</v>
      </c>
      <c r="J120" s="74">
        <f t="shared" si="13"/>
        <v>5.0963362068965514</v>
      </c>
      <c r="K120" s="117" t="s">
        <v>383</v>
      </c>
    </row>
    <row r="121" spans="1:12">
      <c r="A121" s="122">
        <v>1.1999999999999993</v>
      </c>
      <c r="B121" s="71">
        <v>43853</v>
      </c>
      <c r="C121" s="30">
        <f t="shared" si="11"/>
        <v>-1.0319999999999987</v>
      </c>
      <c r="D121" s="74">
        <v>5251.6</v>
      </c>
      <c r="E121" s="74">
        <f t="shared" si="7"/>
        <v>5.5106666666666664</v>
      </c>
      <c r="F121" s="74">
        <f t="shared" si="8"/>
        <v>4.9933333333336574</v>
      </c>
      <c r="G121" s="74">
        <f t="shared" si="9"/>
        <v>5.3630476190476193</v>
      </c>
      <c r="H121" s="74">
        <f t="shared" si="10"/>
        <v>5.4264285714285592</v>
      </c>
      <c r="I121" s="74">
        <f t="shared" si="12"/>
        <v>4.3026206896551722</v>
      </c>
      <c r="J121" s="74">
        <f t="shared" si="13"/>
        <v>5.0763505747126407</v>
      </c>
      <c r="K121" s="117" t="s">
        <v>385</v>
      </c>
    </row>
    <row r="122" spans="1:12">
      <c r="A122" s="122">
        <v>-2.2000000000000028</v>
      </c>
      <c r="B122" s="71">
        <v>43854</v>
      </c>
      <c r="C122" s="30">
        <f t="shared" si="11"/>
        <v>1.0679999999999992</v>
      </c>
      <c r="D122" s="74">
        <v>5265.1</v>
      </c>
      <c r="E122" s="74">
        <f t="shared" si="7"/>
        <v>4.8106666666666662</v>
      </c>
      <c r="F122" s="74">
        <f t="shared" si="8"/>
        <v>6.0187499999999998</v>
      </c>
      <c r="G122" s="74">
        <f t="shared" si="9"/>
        <v>5.4630476190476198</v>
      </c>
      <c r="H122" s="74">
        <f t="shared" si="10"/>
        <v>5.5665476190476539</v>
      </c>
      <c r="I122" s="74">
        <f t="shared" si="12"/>
        <v>4.3256091954022988</v>
      </c>
      <c r="J122" s="74">
        <f t="shared" si="13"/>
        <v>5.0456034482758589</v>
      </c>
      <c r="K122" s="74"/>
    </row>
    <row r="123" spans="1:12">
      <c r="A123" s="122">
        <v>-0.89999999999999858</v>
      </c>
      <c r="B123" s="71">
        <v>43855</v>
      </c>
      <c r="C123" s="30">
        <f t="shared" si="11"/>
        <v>-2.332000000000003</v>
      </c>
      <c r="D123" s="126">
        <v>5278.1</v>
      </c>
      <c r="E123" s="74">
        <f t="shared" si="7"/>
        <v>5.9440000000000017</v>
      </c>
      <c r="F123" s="74">
        <f t="shared" si="8"/>
        <v>5.7958333333333334</v>
      </c>
      <c r="G123" s="74">
        <f t="shared" si="9"/>
        <v>5.4440000000000008</v>
      </c>
      <c r="H123" s="74">
        <f t="shared" si="10"/>
        <v>5.6939285714286063</v>
      </c>
      <c r="I123" s="74">
        <f t="shared" si="12"/>
        <v>4.3543448275862069</v>
      </c>
      <c r="J123" s="74">
        <f t="shared" si="13"/>
        <v>4.991795977011491</v>
      </c>
    </row>
    <row r="124" spans="1:12">
      <c r="A124" s="122">
        <v>-0.69999999999999929</v>
      </c>
      <c r="B124" s="71">
        <v>43856</v>
      </c>
      <c r="C124" s="30">
        <f t="shared" si="11"/>
        <v>-1.0319999999999987</v>
      </c>
      <c r="D124" s="74">
        <v>5291.2</v>
      </c>
      <c r="E124" s="74">
        <f t="shared" si="7"/>
        <v>5.5106666666666664</v>
      </c>
      <c r="F124" s="74">
        <f t="shared" si="8"/>
        <v>5.8404166666664237</v>
      </c>
      <c r="G124" s="74">
        <f t="shared" si="9"/>
        <v>5.1154285714285717</v>
      </c>
      <c r="H124" s="74">
        <f t="shared" si="10"/>
        <v>5.7703571428571658</v>
      </c>
      <c r="I124" s="74">
        <f t="shared" si="12"/>
        <v>4.4221609195402296</v>
      </c>
      <c r="J124" s="74">
        <f t="shared" si="13"/>
        <v>4.9579741379310347</v>
      </c>
    </row>
    <row r="125" spans="1:12">
      <c r="A125" s="122">
        <v>1.3999999999999986</v>
      </c>
      <c r="B125" s="71">
        <v>43857</v>
      </c>
      <c r="C125" s="30">
        <f t="shared" si="11"/>
        <v>-0.8319999999999993</v>
      </c>
      <c r="D125" s="74">
        <v>5304.6</v>
      </c>
      <c r="E125" s="74">
        <f t="shared" si="7"/>
        <v>5.444</v>
      </c>
      <c r="F125" s="74">
        <f t="shared" si="8"/>
        <v>5.9741666666669095</v>
      </c>
      <c r="G125" s="74">
        <f t="shared" si="9"/>
        <v>4.9535238095238094</v>
      </c>
      <c r="H125" s="74">
        <f t="shared" si="10"/>
        <v>5.8531547619047384</v>
      </c>
      <c r="I125" s="74">
        <f t="shared" si="12"/>
        <v>4.4060689655172416</v>
      </c>
      <c r="J125" s="74">
        <f t="shared" si="13"/>
        <v>4.9641235632183998</v>
      </c>
    </row>
    <row r="126" spans="1:12">
      <c r="A126" s="122">
        <v>4.1000000000000014</v>
      </c>
      <c r="B126" s="71">
        <v>43858</v>
      </c>
      <c r="C126" s="30">
        <f t="shared" si="11"/>
        <v>1.2679999999999985</v>
      </c>
      <c r="D126" s="74">
        <v>5318.1</v>
      </c>
      <c r="E126" s="74">
        <f t="shared" si="7"/>
        <v>4.7440000000000007</v>
      </c>
      <c r="F126" s="74">
        <f t="shared" si="8"/>
        <v>6.0187499999999998</v>
      </c>
      <c r="G126" s="74">
        <f t="shared" si="9"/>
        <v>4.8201904761904757</v>
      </c>
      <c r="H126" s="74">
        <f t="shared" si="10"/>
        <v>5.7002976190476184</v>
      </c>
      <c r="I126" s="74">
        <f t="shared" si="12"/>
        <v>4.3233103448275862</v>
      </c>
      <c r="J126" s="74">
        <f t="shared" si="13"/>
        <v>4.9103160919540176</v>
      </c>
      <c r="K126" s="74"/>
    </row>
    <row r="127" spans="1:12">
      <c r="A127" s="122">
        <v>2.5</v>
      </c>
      <c r="B127" s="71">
        <v>43859</v>
      </c>
      <c r="C127" s="30">
        <f t="shared" si="11"/>
        <v>3.9680000000000013</v>
      </c>
      <c r="D127" s="74">
        <v>5331</v>
      </c>
      <c r="E127" s="74">
        <f t="shared" si="7"/>
        <v>3.8439999999999994</v>
      </c>
      <c r="F127" s="74">
        <f t="shared" si="8"/>
        <v>5.7512499999998381</v>
      </c>
      <c r="G127" s="74">
        <f t="shared" si="9"/>
        <v>4.2297142857142855</v>
      </c>
      <c r="H127" s="74">
        <f t="shared" si="10"/>
        <v>5.4073214285714055</v>
      </c>
      <c r="I127" s="74">
        <f t="shared" si="12"/>
        <v>4.3095172413793099</v>
      </c>
      <c r="J127" s="74">
        <f t="shared" si="13"/>
        <v>4.8780316091954044</v>
      </c>
    </row>
    <row r="128" spans="1:12">
      <c r="A128" s="122">
        <v>4</v>
      </c>
      <c r="B128" s="71">
        <v>43860</v>
      </c>
      <c r="C128" s="30">
        <f t="shared" si="11"/>
        <v>2.3679999999999999</v>
      </c>
      <c r="D128" s="74">
        <v>5343.5</v>
      </c>
      <c r="E128" s="74">
        <f t="shared" si="7"/>
        <v>4.3773333333333335</v>
      </c>
      <c r="F128" s="74">
        <f t="shared" si="8"/>
        <v>5.572916666666667</v>
      </c>
      <c r="G128" s="74">
        <f t="shared" si="9"/>
        <v>3.6344761904761897</v>
      </c>
      <c r="H128" s="74">
        <f t="shared" si="10"/>
        <v>4.7322023809523923</v>
      </c>
      <c r="I128" s="74">
        <f t="shared" si="12"/>
        <v>4.3003218390804596</v>
      </c>
      <c r="J128" s="74">
        <f t="shared" si="13"/>
        <v>4.8288362068965425</v>
      </c>
      <c r="K128" s="74"/>
    </row>
    <row r="129" spans="1:12">
      <c r="A129" s="122">
        <v>10.199999999999999</v>
      </c>
      <c r="B129" s="71">
        <v>43861</v>
      </c>
      <c r="C129" s="30">
        <f t="shared" si="11"/>
        <v>3.8679999999999999</v>
      </c>
      <c r="D129" s="74">
        <v>5354.6</v>
      </c>
      <c r="E129" s="74">
        <f t="shared" si="7"/>
        <v>3.8773333333333331</v>
      </c>
      <c r="F129" s="74">
        <f t="shared" si="8"/>
        <v>4.9487500000001621</v>
      </c>
      <c r="G129" s="74">
        <f t="shared" si="9"/>
        <v>3.2059047619047614</v>
      </c>
      <c r="H129" s="74">
        <f t="shared" si="10"/>
        <v>4.267261904761904</v>
      </c>
      <c r="I129" s="74">
        <f t="shared" si="12"/>
        <v>4.261241379310345</v>
      </c>
      <c r="J129" s="74">
        <f t="shared" si="13"/>
        <v>4.7888649425287353</v>
      </c>
    </row>
    <row r="130" spans="1:12">
      <c r="A130" s="122">
        <v>11.600000000000001</v>
      </c>
      <c r="B130" s="71">
        <v>43862</v>
      </c>
      <c r="C130" s="30">
        <f t="shared" si="11"/>
        <v>10.068</v>
      </c>
      <c r="D130" s="74">
        <v>5363</v>
      </c>
      <c r="E130" s="74">
        <f t="shared" si="7"/>
        <v>1.8106666666666669</v>
      </c>
      <c r="F130" s="74">
        <f t="shared" si="8"/>
        <v>3.7449999999998376</v>
      </c>
      <c r="G130" s="74">
        <f t="shared" si="9"/>
        <v>2.8297142857142856</v>
      </c>
      <c r="H130" s="74">
        <f t="shared" si="10"/>
        <v>3.8851190476190474</v>
      </c>
      <c r="I130" s="74">
        <f t="shared" si="12"/>
        <v>4.1991724137931037</v>
      </c>
      <c r="J130" s="74">
        <f t="shared" si="13"/>
        <v>4.719683908045976</v>
      </c>
      <c r="K130" s="74" t="s">
        <v>384</v>
      </c>
    </row>
    <row r="131" spans="1:12">
      <c r="A131" s="122">
        <v>8.3000000000000007</v>
      </c>
      <c r="B131" s="71">
        <v>43863</v>
      </c>
      <c r="C131" s="30">
        <f t="shared" si="11"/>
        <v>11.468000000000002</v>
      </c>
      <c r="D131" s="74">
        <v>5365.5</v>
      </c>
      <c r="E131" s="74">
        <f t="shared" si="7"/>
        <v>1.3439999999999992</v>
      </c>
      <c r="F131" s="74">
        <f t="shared" si="8"/>
        <v>1.1145833333333333</v>
      </c>
      <c r="G131" s="74">
        <f t="shared" si="9"/>
        <v>2.8392380952380951</v>
      </c>
      <c r="H131" s="74">
        <f t="shared" si="10"/>
        <v>3.6112499999999881</v>
      </c>
      <c r="I131" s="74">
        <f t="shared" si="12"/>
        <v>4.1462988505747127</v>
      </c>
      <c r="J131" s="74">
        <f t="shared" si="13"/>
        <v>4.6259051724138009</v>
      </c>
      <c r="K131" s="74"/>
    </row>
    <row r="132" spans="1:12">
      <c r="A132" s="122">
        <v>9.3000000000000007</v>
      </c>
      <c r="B132" s="71">
        <v>43864</v>
      </c>
      <c r="C132" s="30">
        <f t="shared" si="11"/>
        <v>8.168000000000001</v>
      </c>
      <c r="D132" s="74">
        <v>5371.6</v>
      </c>
      <c r="E132" s="74">
        <f t="shared" si="7"/>
        <v>2.444</v>
      </c>
      <c r="F132" s="74">
        <f t="shared" si="8"/>
        <v>2.7195833333334956</v>
      </c>
      <c r="G132" s="74">
        <f t="shared" si="9"/>
        <v>2.8868571428571426</v>
      </c>
      <c r="H132" s="74">
        <f t="shared" si="10"/>
        <v>3.4838690476190357</v>
      </c>
      <c r="I132" s="74">
        <f t="shared" si="12"/>
        <v>4.0819310344827588</v>
      </c>
      <c r="J132" s="74">
        <f t="shared" si="13"/>
        <v>4.536738505747131</v>
      </c>
      <c r="K132" s="74"/>
    </row>
    <row r="133" spans="1:12">
      <c r="A133" s="122">
        <v>3.8999999999999986</v>
      </c>
      <c r="B133" s="71">
        <v>43865</v>
      </c>
      <c r="C133" s="30">
        <f t="shared" si="11"/>
        <v>9.168000000000001</v>
      </c>
      <c r="D133" s="74">
        <v>5379.1</v>
      </c>
      <c r="E133" s="74">
        <f t="shared" si="7"/>
        <v>2.1106666666666665</v>
      </c>
      <c r="F133" s="74">
        <f t="shared" si="8"/>
        <v>3.34375</v>
      </c>
      <c r="G133" s="74">
        <f t="shared" si="9"/>
        <v>3.0154285714285711</v>
      </c>
      <c r="H133" s="74">
        <f t="shared" si="10"/>
        <v>3.4838690476190357</v>
      </c>
      <c r="I133" s="74">
        <f t="shared" si="12"/>
        <v>3.9888275862068969</v>
      </c>
      <c r="J133" s="74">
        <f t="shared" si="13"/>
        <v>4.4629454022988533</v>
      </c>
      <c r="K133" s="74"/>
    </row>
    <row r="134" spans="1:12">
      <c r="A134" s="122">
        <v>1.5</v>
      </c>
      <c r="B134" s="71">
        <v>43866</v>
      </c>
      <c r="C134" s="30">
        <f t="shared" si="11"/>
        <v>3.7679999999999985</v>
      </c>
      <c r="D134" s="74">
        <v>5387.7</v>
      </c>
      <c r="E134" s="74">
        <f t="shared" ref="E134:E197" si="14">IF(C134&lt;E$3,(E$3-C134)*E$2/30,0)</f>
        <v>3.9106666666666667</v>
      </c>
      <c r="F134" s="74">
        <f t="shared" ref="F134:F197" si="15">(D134-D133)/(B134-B133)*10.7/24</f>
        <v>3.8341666666664231</v>
      </c>
      <c r="G134" s="74">
        <f t="shared" si="9"/>
        <v>3.3297142857142852</v>
      </c>
      <c r="H134" s="74">
        <f t="shared" si="10"/>
        <v>3.5539285714285822</v>
      </c>
      <c r="I134" s="74">
        <f t="shared" si="12"/>
        <v>3.9233103448275868</v>
      </c>
      <c r="J134" s="74">
        <f t="shared" si="13"/>
        <v>4.4045258620689651</v>
      </c>
      <c r="K134" s="74"/>
    </row>
    <row r="135" spans="1:12">
      <c r="A135" s="122">
        <v>1.3000000000000007</v>
      </c>
      <c r="B135" s="71">
        <v>43867</v>
      </c>
      <c r="C135" s="30">
        <f t="shared" si="11"/>
        <v>1.3679999999999999</v>
      </c>
      <c r="D135" s="74">
        <v>5398.2</v>
      </c>
      <c r="E135" s="74">
        <f t="shared" si="14"/>
        <v>4.7106666666666666</v>
      </c>
      <c r="F135" s="74">
        <f t="shared" si="15"/>
        <v>4.6812499999999995</v>
      </c>
      <c r="G135" s="74">
        <f t="shared" si="9"/>
        <v>3.8011428571428567</v>
      </c>
      <c r="H135" s="74">
        <f t="shared" si="10"/>
        <v>4.0188690476190709</v>
      </c>
      <c r="I135" s="74">
        <f t="shared" si="12"/>
        <v>3.8417011494252877</v>
      </c>
      <c r="J135" s="74">
        <f t="shared" si="13"/>
        <v>4.3384195402298955</v>
      </c>
      <c r="K135" s="74"/>
    </row>
    <row r="136" spans="1:12">
      <c r="A136" s="122">
        <v>3.6000000000000014</v>
      </c>
      <c r="B136" s="71">
        <v>43868</v>
      </c>
      <c r="C136" s="30">
        <f t="shared" si="11"/>
        <v>1.1680000000000006</v>
      </c>
      <c r="D136" s="74">
        <v>5409.3</v>
      </c>
      <c r="E136" s="74">
        <f t="shared" si="14"/>
        <v>4.777333333333333</v>
      </c>
      <c r="F136" s="74">
        <f t="shared" si="15"/>
        <v>4.9487500000001621</v>
      </c>
      <c r="G136" s="74">
        <f t="shared" si="9"/>
        <v>3.9868571428571431</v>
      </c>
      <c r="H136" s="74">
        <f t="shared" si="10"/>
        <v>4.2799999999999878</v>
      </c>
      <c r="I136" s="74">
        <f t="shared" si="12"/>
        <v>3.7842298850574712</v>
      </c>
      <c r="J136" s="74">
        <f t="shared" si="13"/>
        <v>4.2969109195402293</v>
      </c>
      <c r="K136" s="74"/>
    </row>
    <row r="137" spans="1:12">
      <c r="A137" s="122">
        <v>1.6999999999999993</v>
      </c>
      <c r="B137" s="71">
        <v>43869</v>
      </c>
      <c r="C137" s="30">
        <f t="shared" si="11"/>
        <v>3.4680000000000013</v>
      </c>
      <c r="D137" s="74">
        <v>5418.8</v>
      </c>
      <c r="E137" s="74">
        <f t="shared" si="14"/>
        <v>4.0106666666666664</v>
      </c>
      <c r="F137" s="74">
        <f t="shared" si="15"/>
        <v>4.2354166666666666</v>
      </c>
      <c r="G137" s="74">
        <f t="shared" ref="G137:G200" si="16">SUM(E134:E140)/7</f>
        <v>4.0297142857142862</v>
      </c>
      <c r="H137" s="74">
        <f t="shared" ref="H137:H200" si="17">SUM(F134:F140)/7</f>
        <v>4.3882738095237857</v>
      </c>
      <c r="I137" s="74">
        <f t="shared" si="12"/>
        <v>3.7440000000000002</v>
      </c>
      <c r="J137" s="74">
        <f t="shared" si="13"/>
        <v>4.2277298850574718</v>
      </c>
      <c r="K137" s="74"/>
      <c r="L137" s="74"/>
    </row>
    <row r="138" spans="1:12">
      <c r="A138" s="122">
        <v>4.3999999999999986</v>
      </c>
      <c r="B138" s="71">
        <v>43870</v>
      </c>
      <c r="C138" s="30">
        <f t="shared" ref="C138:C201" si="18">A137+A$1</f>
        <v>1.5679999999999992</v>
      </c>
      <c r="D138" s="74">
        <v>5428.6</v>
      </c>
      <c r="E138" s="74">
        <f t="shared" si="14"/>
        <v>4.6440000000000001</v>
      </c>
      <c r="F138" s="74">
        <f t="shared" si="15"/>
        <v>4.3691666666667475</v>
      </c>
      <c r="G138" s="74">
        <f t="shared" si="16"/>
        <v>4.0201904761904759</v>
      </c>
      <c r="H138" s="74">
        <f t="shared" si="17"/>
        <v>4.509285714285725</v>
      </c>
      <c r="I138" s="74">
        <f t="shared" si="12"/>
        <v>3.6279080459770112</v>
      </c>
      <c r="J138" s="74">
        <f t="shared" si="13"/>
        <v>4.1723850574712582</v>
      </c>
      <c r="K138" s="74"/>
    </row>
    <row r="139" spans="1:12">
      <c r="A139" s="122">
        <v>8.3999999999999986</v>
      </c>
      <c r="B139" s="71">
        <v>43871</v>
      </c>
      <c r="C139" s="30">
        <f t="shared" si="18"/>
        <v>4.2679999999999989</v>
      </c>
      <c r="D139" s="74">
        <v>5438.8</v>
      </c>
      <c r="E139" s="74">
        <f t="shared" si="14"/>
        <v>3.7440000000000002</v>
      </c>
      <c r="F139" s="74">
        <f t="shared" si="15"/>
        <v>4.5474999999999186</v>
      </c>
      <c r="G139" s="74">
        <f t="shared" si="16"/>
        <v>3.9868571428571431</v>
      </c>
      <c r="H139" s="74">
        <f t="shared" si="17"/>
        <v>4.4710714285714159</v>
      </c>
      <c r="I139" s="74">
        <f t="shared" si="12"/>
        <v>3.5003218390804594</v>
      </c>
      <c r="J139" s="74">
        <f t="shared" si="13"/>
        <v>4.0755316091954077</v>
      </c>
      <c r="K139" s="74"/>
    </row>
    <row r="140" spans="1:12">
      <c r="A140" s="122">
        <v>4.1000000000000014</v>
      </c>
      <c r="B140" s="71">
        <v>43872</v>
      </c>
      <c r="C140" s="30">
        <f t="shared" si="18"/>
        <v>8.2679999999999989</v>
      </c>
      <c r="D140" s="74">
        <v>5448</v>
      </c>
      <c r="E140" s="74">
        <f t="shared" si="14"/>
        <v>2.4106666666666667</v>
      </c>
      <c r="F140" s="74">
        <f t="shared" si="15"/>
        <v>4.1016666666665857</v>
      </c>
      <c r="G140" s="74">
        <f t="shared" si="16"/>
        <v>3.9059047619047624</v>
      </c>
      <c r="H140" s="74">
        <f t="shared" si="17"/>
        <v>4.4073809523809402</v>
      </c>
      <c r="I140" s="74">
        <f t="shared" si="12"/>
        <v>3.4359540229885051</v>
      </c>
      <c r="J140" s="74">
        <f t="shared" si="13"/>
        <v>3.9909770114942442</v>
      </c>
      <c r="K140" s="74"/>
      <c r="L140" s="74"/>
    </row>
    <row r="141" spans="1:12">
      <c r="A141" s="122">
        <v>2.1999999999999993</v>
      </c>
      <c r="B141" s="71">
        <v>43873</v>
      </c>
      <c r="C141" s="30">
        <f t="shared" si="18"/>
        <v>3.9680000000000013</v>
      </c>
      <c r="D141" s="74">
        <v>5458.5</v>
      </c>
      <c r="E141" s="74">
        <f t="shared" si="14"/>
        <v>3.8439999999999994</v>
      </c>
      <c r="F141" s="74">
        <f t="shared" si="15"/>
        <v>4.6812499999999995</v>
      </c>
      <c r="G141" s="74">
        <f t="shared" si="16"/>
        <v>3.8201904761904761</v>
      </c>
      <c r="H141" s="74">
        <f t="shared" si="17"/>
        <v>4.3245833333333099</v>
      </c>
      <c r="I141" s="74">
        <f t="shared" si="12"/>
        <v>3.3543448275862064</v>
      </c>
      <c r="J141" s="74">
        <f t="shared" si="13"/>
        <v>3.9110344827586152</v>
      </c>
      <c r="K141" s="74"/>
    </row>
    <row r="142" spans="1:12">
      <c r="A142" s="122">
        <v>3</v>
      </c>
      <c r="B142" s="71">
        <v>43874</v>
      </c>
      <c r="C142" s="30">
        <f t="shared" si="18"/>
        <v>2.0679999999999992</v>
      </c>
      <c r="D142" s="74">
        <v>5468.4</v>
      </c>
      <c r="E142" s="74">
        <f t="shared" si="14"/>
        <v>4.4773333333333332</v>
      </c>
      <c r="F142" s="74">
        <f t="shared" si="15"/>
        <v>4.4137499999998377</v>
      </c>
      <c r="G142" s="74">
        <f t="shared" si="16"/>
        <v>3.6820952380952385</v>
      </c>
      <c r="H142" s="74">
        <f t="shared" si="17"/>
        <v>4.1526190476190354</v>
      </c>
      <c r="I142" s="74">
        <f t="shared" si="12"/>
        <v>3.3520459770114934</v>
      </c>
      <c r="J142" s="74">
        <f t="shared" si="13"/>
        <v>3.8464655172413758</v>
      </c>
      <c r="K142" s="74"/>
    </row>
    <row r="143" spans="1:12">
      <c r="A143" s="122">
        <v>5.3999999999999986</v>
      </c>
      <c r="B143" s="71">
        <v>43875</v>
      </c>
      <c r="C143" s="30">
        <f t="shared" si="18"/>
        <v>2.8679999999999999</v>
      </c>
      <c r="D143" s="74">
        <v>5478.5</v>
      </c>
      <c r="E143" s="74">
        <f t="shared" si="14"/>
        <v>4.2106666666666666</v>
      </c>
      <c r="F143" s="74">
        <f t="shared" si="15"/>
        <v>4.5029166666668283</v>
      </c>
      <c r="G143" s="74">
        <f t="shared" si="16"/>
        <v>3.5773333333333328</v>
      </c>
      <c r="H143" s="74">
        <f t="shared" si="17"/>
        <v>3.9679166666666781</v>
      </c>
      <c r="I143" s="74">
        <f t="shared" si="12"/>
        <v>3.3417011494252864</v>
      </c>
      <c r="J143" s="74">
        <f t="shared" si="13"/>
        <v>3.788045977011488</v>
      </c>
      <c r="K143" s="74"/>
    </row>
    <row r="144" spans="1:12">
      <c r="A144" s="122">
        <v>4.6000000000000014</v>
      </c>
      <c r="B144" s="71">
        <v>43876</v>
      </c>
      <c r="C144" s="30">
        <f t="shared" si="18"/>
        <v>5.2679999999999989</v>
      </c>
      <c r="D144" s="74">
        <v>5486.7</v>
      </c>
      <c r="E144" s="74">
        <f t="shared" si="14"/>
        <v>3.4106666666666667</v>
      </c>
      <c r="F144" s="74">
        <f t="shared" si="15"/>
        <v>3.655833333333252</v>
      </c>
      <c r="G144" s="74">
        <f t="shared" si="16"/>
        <v>3.5249523809523806</v>
      </c>
      <c r="H144" s="74">
        <f t="shared" si="17"/>
        <v>3.7895833333333333</v>
      </c>
      <c r="I144" s="74">
        <f t="shared" si="12"/>
        <v>3.3623908045977</v>
      </c>
      <c r="J144" s="74">
        <f t="shared" si="13"/>
        <v>3.7803591954022928</v>
      </c>
      <c r="K144" s="74"/>
    </row>
    <row r="145" spans="1:11">
      <c r="A145" s="122">
        <v>6.6000000000000014</v>
      </c>
      <c r="B145" s="71">
        <v>43877</v>
      </c>
      <c r="C145" s="30">
        <f t="shared" si="18"/>
        <v>4.4680000000000017</v>
      </c>
      <c r="D145" s="74">
        <v>5493.8</v>
      </c>
      <c r="E145" s="74">
        <f t="shared" si="14"/>
        <v>3.6773333333333325</v>
      </c>
      <c r="F145" s="74">
        <f t="shared" si="15"/>
        <v>3.1654166666668289</v>
      </c>
      <c r="G145" s="74">
        <f t="shared" si="16"/>
        <v>3.4011428571428572</v>
      </c>
      <c r="H145" s="74">
        <f t="shared" si="17"/>
        <v>3.6112499999999885</v>
      </c>
      <c r="I145" s="74">
        <f t="shared" si="12"/>
        <v>3.4336551724137925</v>
      </c>
      <c r="J145" s="74">
        <f t="shared" si="13"/>
        <v>3.803419540229878</v>
      </c>
      <c r="K145" s="74"/>
    </row>
    <row r="146" spans="1:11">
      <c r="A146" s="122">
        <v>9.5</v>
      </c>
      <c r="B146" s="71">
        <v>43878</v>
      </c>
      <c r="C146" s="30">
        <f t="shared" si="18"/>
        <v>6.4680000000000017</v>
      </c>
      <c r="D146" s="74">
        <v>5501.1</v>
      </c>
      <c r="E146" s="74">
        <f t="shared" si="14"/>
        <v>3.0106666666666659</v>
      </c>
      <c r="F146" s="74">
        <f t="shared" si="15"/>
        <v>3.2545833333334144</v>
      </c>
      <c r="G146" s="74">
        <f t="shared" si="16"/>
        <v>3.3011428571428567</v>
      </c>
      <c r="H146" s="74">
        <f t="shared" si="17"/>
        <v>3.4520238095238556</v>
      </c>
      <c r="I146" s="74">
        <f t="shared" si="12"/>
        <v>3.4784827586206895</v>
      </c>
      <c r="J146" s="74">
        <f t="shared" si="13"/>
        <v>3.8848994252873528</v>
      </c>
      <c r="K146" s="74"/>
    </row>
    <row r="147" spans="1:11">
      <c r="A147" s="122">
        <v>6.6999999999999993</v>
      </c>
      <c r="B147" s="71">
        <v>43879</v>
      </c>
      <c r="C147" s="30">
        <f t="shared" si="18"/>
        <v>9.3680000000000003</v>
      </c>
      <c r="D147" s="74">
        <v>5507.5</v>
      </c>
      <c r="E147" s="74">
        <f t="shared" si="14"/>
        <v>2.0439999999999996</v>
      </c>
      <c r="F147" s="74">
        <f t="shared" si="15"/>
        <v>2.8533333333331705</v>
      </c>
      <c r="G147" s="74">
        <f t="shared" si="16"/>
        <v>3.2487619047619041</v>
      </c>
      <c r="H147" s="74">
        <f t="shared" si="17"/>
        <v>3.3501190476190708</v>
      </c>
      <c r="I147" s="74">
        <f t="shared" si="12"/>
        <v>3.4968735632183905</v>
      </c>
      <c r="J147" s="74">
        <f t="shared" si="13"/>
        <v>3.9156465517241341</v>
      </c>
      <c r="K147" s="127" t="s">
        <v>380</v>
      </c>
    </row>
    <row r="148" spans="1:11">
      <c r="A148" s="122">
        <v>4.3000000000000007</v>
      </c>
      <c r="B148" s="71">
        <v>43880</v>
      </c>
      <c r="C148" s="30">
        <f t="shared" si="18"/>
        <v>6.5679999999999996</v>
      </c>
      <c r="D148" s="74">
        <v>5515.2</v>
      </c>
      <c r="E148" s="74">
        <f t="shared" si="14"/>
        <v>2.9773333333333336</v>
      </c>
      <c r="F148" s="74">
        <f t="shared" si="15"/>
        <v>3.4329166666665856</v>
      </c>
      <c r="G148" s="74">
        <f t="shared" si="16"/>
        <v>3.2820952380952377</v>
      </c>
      <c r="H148" s="74">
        <f t="shared" si="17"/>
        <v>3.4010714285714632</v>
      </c>
      <c r="I148" s="74">
        <f t="shared" si="12"/>
        <v>3.5497471264367815</v>
      </c>
      <c r="J148" s="74">
        <f t="shared" si="13"/>
        <v>3.8956609195402234</v>
      </c>
      <c r="K148" s="123">
        <v>237.5</v>
      </c>
    </row>
    <row r="149" spans="1:11">
      <c r="A149" s="122">
        <v>4.1000000000000014</v>
      </c>
      <c r="B149" s="71">
        <v>43881</v>
      </c>
      <c r="C149" s="30">
        <f t="shared" si="18"/>
        <v>4.168000000000001</v>
      </c>
      <c r="D149" s="74">
        <v>5522.6</v>
      </c>
      <c r="E149" s="74">
        <f t="shared" si="14"/>
        <v>3.777333333333333</v>
      </c>
      <c r="F149" s="74">
        <f t="shared" si="15"/>
        <v>3.2991666666669097</v>
      </c>
      <c r="G149" s="74">
        <f t="shared" si="16"/>
        <v>3.1249523809523816</v>
      </c>
      <c r="H149" s="74">
        <f t="shared" si="17"/>
        <v>3.5475595238095119</v>
      </c>
      <c r="I149" s="74">
        <f t="shared" ref="I149:I212" si="19">SUM(E135:E163)/29</f>
        <v>3.5554942528735629</v>
      </c>
      <c r="J149" s="74">
        <f t="shared" ref="J149:J212" si="20">SUM(F135:F163)/29</f>
        <v>3.8556896551724158</v>
      </c>
      <c r="K149" s="127" t="s">
        <v>379</v>
      </c>
    </row>
    <row r="150" spans="1:11">
      <c r="A150" s="122">
        <v>4.6999999999999993</v>
      </c>
      <c r="B150" s="71">
        <v>43882</v>
      </c>
      <c r="C150" s="30">
        <f t="shared" si="18"/>
        <v>3.9680000000000013</v>
      </c>
      <c r="D150" s="74">
        <v>5531.1</v>
      </c>
      <c r="E150" s="74">
        <f t="shared" si="14"/>
        <v>3.8439999999999994</v>
      </c>
      <c r="F150" s="74">
        <f t="shared" si="15"/>
        <v>3.7895833333333329</v>
      </c>
      <c r="G150" s="74">
        <f t="shared" si="16"/>
        <v>2.953523809523809</v>
      </c>
      <c r="H150" s="74">
        <f t="shared" si="17"/>
        <v>3.515714285714274</v>
      </c>
      <c r="I150" s="74">
        <f t="shared" si="19"/>
        <v>3.5175632183908045</v>
      </c>
      <c r="J150" s="74">
        <f t="shared" si="20"/>
        <v>3.828017241379309</v>
      </c>
      <c r="K150" s="127">
        <v>223</v>
      </c>
    </row>
    <row r="151" spans="1:11">
      <c r="A151" s="122">
        <v>7.8999999999999986</v>
      </c>
      <c r="B151" s="71">
        <v>43883</v>
      </c>
      <c r="C151" s="30">
        <f t="shared" si="18"/>
        <v>4.5679999999999996</v>
      </c>
      <c r="D151" s="74">
        <v>5540.1</v>
      </c>
      <c r="E151" s="74">
        <f t="shared" si="14"/>
        <v>3.6440000000000001</v>
      </c>
      <c r="F151" s="74">
        <f t="shared" si="15"/>
        <v>4.0125000000000002</v>
      </c>
      <c r="G151" s="74">
        <f t="shared" si="16"/>
        <v>3.1725714285714282</v>
      </c>
      <c r="H151" s="74">
        <f t="shared" si="17"/>
        <v>3.6112499999999881</v>
      </c>
      <c r="I151" s="74">
        <f t="shared" si="19"/>
        <v>3.4554942528735637</v>
      </c>
      <c r="J151" s="74">
        <f t="shared" si="20"/>
        <v>3.7788218390804609</v>
      </c>
      <c r="K151" s="74"/>
    </row>
    <row r="152" spans="1:11">
      <c r="A152" s="122">
        <v>10.199999999999999</v>
      </c>
      <c r="B152" s="71">
        <v>43884</v>
      </c>
      <c r="C152" s="30">
        <f t="shared" si="18"/>
        <v>7.7679999999999989</v>
      </c>
      <c r="D152" s="74">
        <v>5549.5</v>
      </c>
      <c r="E152" s="74">
        <f t="shared" si="14"/>
        <v>2.5773333333333337</v>
      </c>
      <c r="F152" s="74">
        <f t="shared" si="15"/>
        <v>4.1908333333331713</v>
      </c>
      <c r="G152" s="74">
        <f t="shared" si="16"/>
        <v>3.0868571428571423</v>
      </c>
      <c r="H152" s="74">
        <f t="shared" si="17"/>
        <v>3.6494642857142972</v>
      </c>
      <c r="I152" s="74">
        <f t="shared" si="19"/>
        <v>3.4485977011494251</v>
      </c>
      <c r="J152" s="74">
        <f t="shared" si="20"/>
        <v>3.7327011494252891</v>
      </c>
      <c r="K152" s="74"/>
    </row>
    <row r="153" spans="1:11">
      <c r="A153" s="122">
        <v>4.8999999999999986</v>
      </c>
      <c r="B153" s="71">
        <v>43885</v>
      </c>
      <c r="C153" s="30">
        <f t="shared" si="18"/>
        <v>10.068</v>
      </c>
      <c r="D153" s="74">
        <v>5556.3</v>
      </c>
      <c r="E153" s="74">
        <f t="shared" si="14"/>
        <v>1.8106666666666669</v>
      </c>
      <c r="F153" s="74">
        <f t="shared" si="15"/>
        <v>3.0316666666667476</v>
      </c>
      <c r="G153" s="74">
        <f t="shared" si="16"/>
        <v>3.0868571428571423</v>
      </c>
      <c r="H153" s="74">
        <f t="shared" si="17"/>
        <v>3.7322619047618701</v>
      </c>
      <c r="I153" s="74">
        <f t="shared" si="19"/>
        <v>3.4083678160919542</v>
      </c>
      <c r="J153" s="74">
        <f t="shared" si="20"/>
        <v>3.7250143678160792</v>
      </c>
      <c r="K153" s="74"/>
    </row>
    <row r="154" spans="1:11">
      <c r="A154" s="122">
        <v>8.5</v>
      </c>
      <c r="B154" s="71">
        <v>43886</v>
      </c>
      <c r="C154" s="30">
        <f t="shared" si="18"/>
        <v>4.7679999999999989</v>
      </c>
      <c r="D154" s="74">
        <v>5564.2</v>
      </c>
      <c r="E154" s="74">
        <f t="shared" si="14"/>
        <v>3.5773333333333337</v>
      </c>
      <c r="F154" s="74">
        <f t="shared" si="15"/>
        <v>3.5220833333331711</v>
      </c>
      <c r="G154" s="74">
        <f t="shared" si="16"/>
        <v>3.120190476190476</v>
      </c>
      <c r="H154" s="74">
        <f t="shared" si="17"/>
        <v>3.7449999999999539</v>
      </c>
      <c r="I154" s="74">
        <f t="shared" si="19"/>
        <v>3.3922758620689657</v>
      </c>
      <c r="J154" s="74">
        <f t="shared" si="20"/>
        <v>3.6696695402298816</v>
      </c>
      <c r="K154" s="74"/>
    </row>
    <row r="155" spans="1:11">
      <c r="A155" s="122">
        <v>4.3000000000000007</v>
      </c>
      <c r="B155" s="71">
        <v>43887</v>
      </c>
      <c r="C155" s="30">
        <f t="shared" si="18"/>
        <v>8.3680000000000003</v>
      </c>
      <c r="D155" s="74">
        <v>5572.5</v>
      </c>
      <c r="E155" s="74">
        <f t="shared" si="14"/>
        <v>2.3773333333333331</v>
      </c>
      <c r="F155" s="74">
        <f t="shared" si="15"/>
        <v>3.7004166666667473</v>
      </c>
      <c r="G155" s="74">
        <f t="shared" si="16"/>
        <v>3.2392380952380955</v>
      </c>
      <c r="H155" s="74">
        <f t="shared" si="17"/>
        <v>3.8469047619047383</v>
      </c>
      <c r="I155" s="74">
        <f t="shared" si="19"/>
        <v>3.4302068965517241</v>
      </c>
      <c r="J155" s="74">
        <f t="shared" si="20"/>
        <v>3.6558333333333346</v>
      </c>
      <c r="K155" s="74"/>
    </row>
    <row r="156" spans="1:11">
      <c r="A156" s="122">
        <v>3.3999999999999986</v>
      </c>
      <c r="B156" s="71">
        <v>43888</v>
      </c>
      <c r="C156" s="30">
        <f t="shared" si="18"/>
        <v>4.168000000000001</v>
      </c>
      <c r="D156" s="74">
        <v>5581.2</v>
      </c>
      <c r="E156" s="74">
        <f t="shared" si="14"/>
        <v>3.777333333333333</v>
      </c>
      <c r="F156" s="74">
        <f t="shared" si="15"/>
        <v>3.8787499999999184</v>
      </c>
      <c r="G156" s="74">
        <f t="shared" si="16"/>
        <v>3.424952380952381</v>
      </c>
      <c r="H156" s="74">
        <f t="shared" si="17"/>
        <v>3.8787499999999762</v>
      </c>
      <c r="I156" s="74">
        <f t="shared" si="19"/>
        <v>3.3738850574712642</v>
      </c>
      <c r="J156" s="74">
        <f t="shared" si="20"/>
        <v>3.5958764367816172</v>
      </c>
      <c r="K156" s="74"/>
    </row>
    <row r="157" spans="1:11">
      <c r="A157" s="122">
        <v>2.1999999999999993</v>
      </c>
      <c r="B157" s="71">
        <v>43889</v>
      </c>
      <c r="C157" s="30">
        <f t="shared" si="18"/>
        <v>3.2679999999999985</v>
      </c>
      <c r="D157" s="74">
        <v>5589.9</v>
      </c>
      <c r="E157" s="74">
        <f t="shared" si="14"/>
        <v>4.0773333333333337</v>
      </c>
      <c r="F157" s="74">
        <f t="shared" si="15"/>
        <v>3.8787499999999184</v>
      </c>
      <c r="G157" s="74">
        <f t="shared" si="16"/>
        <v>3.544</v>
      </c>
      <c r="H157" s="74">
        <f t="shared" si="17"/>
        <v>3.9424404761904523</v>
      </c>
      <c r="I157" s="74">
        <f t="shared" si="19"/>
        <v>3.2658390804597697</v>
      </c>
      <c r="J157" s="74">
        <f t="shared" si="20"/>
        <v>3.5466810344827686</v>
      </c>
      <c r="K157" s="74"/>
    </row>
    <row r="158" spans="1:11">
      <c r="A158" s="122">
        <v>4</v>
      </c>
      <c r="B158" s="71">
        <v>43890</v>
      </c>
      <c r="C158" s="30">
        <f t="shared" si="18"/>
        <v>2.0679999999999992</v>
      </c>
      <c r="D158" s="74">
        <v>5600.5</v>
      </c>
      <c r="E158" s="74">
        <f t="shared" si="14"/>
        <v>4.4773333333333332</v>
      </c>
      <c r="F158" s="74">
        <f t="shared" si="15"/>
        <v>4.7258333333334948</v>
      </c>
      <c r="G158" s="74">
        <f t="shared" si="16"/>
        <v>3.4582857142857142</v>
      </c>
      <c r="H158" s="74">
        <f t="shared" si="17"/>
        <v>3.9551785714285939</v>
      </c>
      <c r="I158" s="74">
        <f t="shared" si="19"/>
        <v>3.2164137931034471</v>
      </c>
      <c r="J158" s="74">
        <f t="shared" si="20"/>
        <v>3.4775000000000098</v>
      </c>
      <c r="K158" s="74"/>
    </row>
    <row r="159" spans="1:11">
      <c r="A159" s="122">
        <v>7.6999999999999993</v>
      </c>
      <c r="B159" s="71">
        <v>43891</v>
      </c>
      <c r="C159" s="30">
        <f t="shared" si="18"/>
        <v>3.8679999999999999</v>
      </c>
      <c r="D159" s="124">
        <v>5610.4</v>
      </c>
      <c r="E159" s="74">
        <f t="shared" si="14"/>
        <v>3.8773333333333331</v>
      </c>
      <c r="F159" s="74">
        <f t="shared" si="15"/>
        <v>4.4137499999998377</v>
      </c>
      <c r="G159" s="74">
        <f t="shared" si="16"/>
        <v>3.6392380952380949</v>
      </c>
      <c r="H159" s="74">
        <f t="shared" si="17"/>
        <v>3.8214285714285707</v>
      </c>
      <c r="I159" s="74">
        <f t="shared" si="19"/>
        <v>3.232505747126436</v>
      </c>
      <c r="J159" s="74">
        <f t="shared" si="20"/>
        <v>3.4375287356322031</v>
      </c>
      <c r="K159" s="74"/>
    </row>
    <row r="160" spans="1:11">
      <c r="A160" s="122">
        <v>6.6999999999999993</v>
      </c>
      <c r="B160" s="71">
        <v>43892</v>
      </c>
      <c r="C160" s="30">
        <f t="shared" si="18"/>
        <v>7.5679999999999996</v>
      </c>
      <c r="D160" s="124">
        <v>5618.2</v>
      </c>
      <c r="E160" s="74">
        <f t="shared" si="14"/>
        <v>2.6440000000000001</v>
      </c>
      <c r="F160" s="74">
        <f t="shared" si="15"/>
        <v>3.4775000000000809</v>
      </c>
      <c r="G160" s="74">
        <f t="shared" si="16"/>
        <v>3.6820952380952385</v>
      </c>
      <c r="H160" s="74">
        <f t="shared" si="17"/>
        <v>3.6494642857142972</v>
      </c>
      <c r="I160" s="74">
        <f t="shared" si="19"/>
        <v>3.2462988505747123</v>
      </c>
      <c r="J160" s="74">
        <f t="shared" si="20"/>
        <v>3.414468390804589</v>
      </c>
      <c r="K160" s="74"/>
    </row>
    <row r="161" spans="1:12">
      <c r="A161" s="122">
        <v>4.6999999999999993</v>
      </c>
      <c r="B161" s="71">
        <v>43893</v>
      </c>
      <c r="C161" s="30">
        <f t="shared" si="18"/>
        <v>6.5679999999999996</v>
      </c>
      <c r="D161" s="124">
        <v>5626.3</v>
      </c>
      <c r="E161" s="74">
        <f t="shared" si="14"/>
        <v>2.9773333333333336</v>
      </c>
      <c r="F161" s="74">
        <f t="shared" si="15"/>
        <v>3.6112500000001617</v>
      </c>
      <c r="G161" s="74">
        <f t="shared" si="16"/>
        <v>3.6154285714285712</v>
      </c>
      <c r="H161" s="74">
        <f t="shared" si="17"/>
        <v>3.6494642857142972</v>
      </c>
      <c r="I161" s="74">
        <f t="shared" si="19"/>
        <v>3.2577931034482752</v>
      </c>
      <c r="J161" s="74">
        <f t="shared" si="20"/>
        <v>3.4390660919540195</v>
      </c>
      <c r="K161" s="74"/>
    </row>
    <row r="162" spans="1:12">
      <c r="A162" s="122">
        <v>3.3999999999999986</v>
      </c>
      <c r="B162" s="71">
        <v>43894</v>
      </c>
      <c r="C162" s="30">
        <f t="shared" si="18"/>
        <v>4.5679999999999996</v>
      </c>
      <c r="D162" s="124">
        <v>5632.5</v>
      </c>
      <c r="E162" s="74">
        <f t="shared" si="14"/>
        <v>3.6440000000000001</v>
      </c>
      <c r="F162" s="74">
        <f t="shared" si="15"/>
        <v>2.7641666666665849</v>
      </c>
      <c r="G162" s="74">
        <f t="shared" si="16"/>
        <v>3.4011428571428572</v>
      </c>
      <c r="H162" s="74">
        <f t="shared" si="17"/>
        <v>3.4775000000000227</v>
      </c>
      <c r="I162" s="74">
        <f t="shared" si="19"/>
        <v>3.2784827586206893</v>
      </c>
      <c r="J162" s="74">
        <f t="shared" si="20"/>
        <v>3.4313793103448238</v>
      </c>
      <c r="K162" s="74"/>
    </row>
    <row r="163" spans="1:12">
      <c r="A163" s="122">
        <v>4.8000000000000007</v>
      </c>
      <c r="B163" s="71">
        <v>43895</v>
      </c>
      <c r="C163" s="30">
        <f t="shared" si="18"/>
        <v>3.2679999999999985</v>
      </c>
      <c r="D163" s="124">
        <v>5638.5</v>
      </c>
      <c r="E163" s="74">
        <f t="shared" si="14"/>
        <v>4.0773333333333337</v>
      </c>
      <c r="F163" s="74">
        <f t="shared" si="15"/>
        <v>2.6749999999999994</v>
      </c>
      <c r="G163" s="74">
        <f t="shared" si="16"/>
        <v>3.3916190476190478</v>
      </c>
      <c r="H163" s="74">
        <f t="shared" si="17"/>
        <v>3.260952380952427</v>
      </c>
      <c r="I163" s="74">
        <f t="shared" si="19"/>
        <v>3.2462988505747123</v>
      </c>
      <c r="J163" s="74">
        <f t="shared" si="20"/>
        <v>3.3929454022988468</v>
      </c>
      <c r="K163" s="74"/>
    </row>
    <row r="164" spans="1:12">
      <c r="A164" s="122">
        <v>6.6999999999999993</v>
      </c>
      <c r="B164" s="71">
        <v>43896</v>
      </c>
      <c r="C164" s="30">
        <f t="shared" si="18"/>
        <v>4.668000000000001</v>
      </c>
      <c r="D164" s="124">
        <v>5647.2</v>
      </c>
      <c r="E164" s="74">
        <f t="shared" si="14"/>
        <v>3.6106666666666665</v>
      </c>
      <c r="F164" s="74">
        <f t="shared" si="15"/>
        <v>3.8787499999999184</v>
      </c>
      <c r="G164" s="74">
        <f t="shared" si="16"/>
        <v>3.5106666666666668</v>
      </c>
      <c r="H164" s="74">
        <f t="shared" si="17"/>
        <v>3.3564880952380833</v>
      </c>
      <c r="I164" s="74">
        <f t="shared" si="19"/>
        <v>3.1853793103448274</v>
      </c>
      <c r="J164" s="74">
        <f t="shared" si="20"/>
        <v>3.3529741379310254</v>
      </c>
      <c r="K164" s="74"/>
    </row>
    <row r="165" spans="1:12">
      <c r="A165" s="122">
        <v>4.1999999999999993</v>
      </c>
      <c r="B165" s="71">
        <v>43897</v>
      </c>
      <c r="C165" s="30">
        <f t="shared" si="18"/>
        <v>6.5679999999999996</v>
      </c>
      <c r="D165" s="124">
        <v>5655.1</v>
      </c>
      <c r="E165" s="74">
        <f t="shared" si="14"/>
        <v>2.9773333333333336</v>
      </c>
      <c r="F165" s="74">
        <f t="shared" si="15"/>
        <v>3.5220833333335761</v>
      </c>
      <c r="G165" s="74">
        <f t="shared" si="16"/>
        <v>3.55352380952381</v>
      </c>
      <c r="H165" s="74">
        <f t="shared" si="17"/>
        <v>3.2609523809523688</v>
      </c>
      <c r="I165" s="74">
        <f t="shared" si="19"/>
        <v>3.1256091954022986</v>
      </c>
      <c r="J165" s="74">
        <f t="shared" si="20"/>
        <v>3.3176149425287242</v>
      </c>
      <c r="K165" s="74"/>
    </row>
    <row r="166" spans="1:12">
      <c r="A166" s="122">
        <v>5.1999999999999993</v>
      </c>
      <c r="B166" s="71">
        <v>43898</v>
      </c>
      <c r="C166" s="30">
        <f t="shared" si="18"/>
        <v>4.0679999999999996</v>
      </c>
      <c r="D166" s="124">
        <v>5661.6</v>
      </c>
      <c r="E166" s="74">
        <f t="shared" si="14"/>
        <v>3.8106666666666671</v>
      </c>
      <c r="F166" s="74">
        <f t="shared" si="15"/>
        <v>2.8979166666666667</v>
      </c>
      <c r="G166" s="74">
        <f t="shared" si="16"/>
        <v>3.534476190476191</v>
      </c>
      <c r="H166" s="74">
        <f t="shared" si="17"/>
        <v>3.394702380952392</v>
      </c>
      <c r="I166" s="74">
        <f t="shared" si="19"/>
        <v>3.1497471264367807</v>
      </c>
      <c r="J166" s="74">
        <f t="shared" si="20"/>
        <v>3.2791810344827463</v>
      </c>
      <c r="K166" s="127" t="s">
        <v>380</v>
      </c>
    </row>
    <row r="167" spans="1:12">
      <c r="A167" s="122">
        <v>5.8000000000000007</v>
      </c>
      <c r="B167" s="71">
        <v>43899</v>
      </c>
      <c r="C167" s="30">
        <f t="shared" si="18"/>
        <v>5.0679999999999996</v>
      </c>
      <c r="D167" s="124">
        <v>5670.9</v>
      </c>
      <c r="E167" s="74">
        <f t="shared" si="14"/>
        <v>3.4773333333333336</v>
      </c>
      <c r="F167" s="74">
        <f t="shared" si="15"/>
        <v>4.1462499999996751</v>
      </c>
      <c r="G167" s="74">
        <f t="shared" si="16"/>
        <v>3.2678095238095244</v>
      </c>
      <c r="H167" s="74">
        <f t="shared" si="17"/>
        <v>3.4329166666667015</v>
      </c>
      <c r="I167" s="74">
        <f t="shared" si="19"/>
        <v>3.2520459770114942</v>
      </c>
      <c r="J167" s="74">
        <f t="shared" si="20"/>
        <v>3.2530459770114994</v>
      </c>
      <c r="K167" s="123">
        <v>208.40000000000055</v>
      </c>
    </row>
    <row r="168" spans="1:12">
      <c r="A168" s="122">
        <v>5.1000000000000014</v>
      </c>
      <c r="B168" s="71">
        <v>43900</v>
      </c>
      <c r="C168" s="30">
        <f t="shared" si="18"/>
        <v>5.668000000000001</v>
      </c>
      <c r="D168" s="124">
        <v>5677.5</v>
      </c>
      <c r="E168" s="74">
        <f t="shared" si="14"/>
        <v>3.277333333333333</v>
      </c>
      <c r="F168" s="74">
        <f t="shared" si="15"/>
        <v>2.942500000000162</v>
      </c>
      <c r="G168" s="74">
        <f t="shared" si="16"/>
        <v>2.944</v>
      </c>
      <c r="H168" s="74">
        <f t="shared" si="17"/>
        <v>3.3055357142857491</v>
      </c>
      <c r="I168" s="74">
        <f t="shared" si="19"/>
        <v>3.3784827586206889</v>
      </c>
      <c r="J168" s="74">
        <f t="shared" si="20"/>
        <v>3.2622701149425253</v>
      </c>
      <c r="K168" s="127" t="s">
        <v>379</v>
      </c>
    </row>
    <row r="169" spans="1:12">
      <c r="A169" s="122">
        <v>9</v>
      </c>
      <c r="B169" s="71">
        <v>43901</v>
      </c>
      <c r="C169" s="30">
        <f t="shared" si="18"/>
        <v>4.9680000000000017</v>
      </c>
      <c r="D169" s="124">
        <v>5685.8</v>
      </c>
      <c r="E169" s="74">
        <f t="shared" si="14"/>
        <v>3.5106666666666659</v>
      </c>
      <c r="F169" s="74">
        <f t="shared" si="15"/>
        <v>3.7004166666667473</v>
      </c>
      <c r="G169" s="74">
        <f t="shared" si="16"/>
        <v>2.9154285714285706</v>
      </c>
      <c r="H169" s="74">
        <f t="shared" si="17"/>
        <v>3.1590476190476422</v>
      </c>
      <c r="I169" s="74">
        <f t="shared" si="19"/>
        <v>3.4313563218390795</v>
      </c>
      <c r="J169" s="74">
        <f t="shared" si="20"/>
        <v>3.2776436781609162</v>
      </c>
      <c r="K169" s="127">
        <v>192.90000000000055</v>
      </c>
    </row>
    <row r="170" spans="1:12">
      <c r="A170" s="122">
        <v>11.600000000000001</v>
      </c>
      <c r="B170" s="71">
        <v>43902</v>
      </c>
      <c r="C170" s="30">
        <f t="shared" si="18"/>
        <v>8.8680000000000003</v>
      </c>
      <c r="D170" s="126">
        <v>5692.4000000000005</v>
      </c>
      <c r="E170" s="74">
        <f t="shared" si="14"/>
        <v>2.2106666666666666</v>
      </c>
      <c r="F170" s="74">
        <f t="shared" si="15"/>
        <v>2.942500000000162</v>
      </c>
      <c r="G170" s="74">
        <f t="shared" si="16"/>
        <v>2.9249523809523805</v>
      </c>
      <c r="H170" s="74">
        <f t="shared" si="17"/>
        <v>3.1017261904762372</v>
      </c>
      <c r="I170" s="74">
        <f t="shared" si="19"/>
        <v>3.5187126436781604</v>
      </c>
      <c r="J170" s="74">
        <f t="shared" si="20"/>
        <v>3.3099281609195428</v>
      </c>
      <c r="K170" s="74"/>
    </row>
    <row r="171" spans="1:12">
      <c r="A171" s="122">
        <v>7.3000000000000007</v>
      </c>
      <c r="B171" s="71">
        <v>43903</v>
      </c>
      <c r="C171" s="30">
        <f t="shared" si="18"/>
        <v>11.468000000000002</v>
      </c>
      <c r="D171" s="124">
        <v>5699.1</v>
      </c>
      <c r="E171" s="74">
        <f t="shared" si="14"/>
        <v>1.3439999999999992</v>
      </c>
      <c r="F171" s="74">
        <f t="shared" si="15"/>
        <v>2.9870833333332523</v>
      </c>
      <c r="G171" s="74">
        <f t="shared" si="16"/>
        <v>3.0106666666666664</v>
      </c>
      <c r="H171" s="74">
        <f t="shared" si="17"/>
        <v>2.8660714285714284</v>
      </c>
      <c r="I171" s="74">
        <f t="shared" si="19"/>
        <v>3.5336551724137926</v>
      </c>
      <c r="J171" s="74">
        <f t="shared" si="20"/>
        <v>3.2745689655172412</v>
      </c>
      <c r="K171" s="74"/>
    </row>
    <row r="172" spans="1:12">
      <c r="A172" s="122">
        <v>4</v>
      </c>
      <c r="B172" s="71">
        <v>43904</v>
      </c>
      <c r="C172" s="30">
        <f t="shared" si="18"/>
        <v>7.168000000000001</v>
      </c>
      <c r="D172" s="126">
        <v>5704.7000000000007</v>
      </c>
      <c r="E172" s="74">
        <f t="shared" si="14"/>
        <v>2.777333333333333</v>
      </c>
      <c r="F172" s="74">
        <f t="shared" si="15"/>
        <v>2.4966666666668287</v>
      </c>
      <c r="G172" s="74">
        <f t="shared" si="16"/>
        <v>3.0201904761904754</v>
      </c>
      <c r="H172" s="74">
        <f t="shared" si="17"/>
        <v>3.0125595238095357</v>
      </c>
      <c r="I172" s="74">
        <f t="shared" si="19"/>
        <v>3.4646896551724131</v>
      </c>
      <c r="J172" s="74">
        <f t="shared" si="20"/>
        <v>3.2284482758620681</v>
      </c>
      <c r="K172" s="74"/>
    </row>
    <row r="173" spans="1:12">
      <c r="A173" s="122">
        <v>3.3999999999999986</v>
      </c>
      <c r="B173" s="71">
        <v>43905</v>
      </c>
      <c r="C173" s="30">
        <f t="shared" si="18"/>
        <v>3.8679999999999999</v>
      </c>
      <c r="D173" s="126">
        <v>5710.3000000000011</v>
      </c>
      <c r="E173" s="74">
        <f t="shared" si="14"/>
        <v>3.8773333333333331</v>
      </c>
      <c r="F173" s="74">
        <f t="shared" si="15"/>
        <v>2.4966666666668287</v>
      </c>
      <c r="G173" s="74">
        <f t="shared" si="16"/>
        <v>2.8963809523809516</v>
      </c>
      <c r="H173" s="74">
        <f t="shared" si="17"/>
        <v>2.8597023809523576</v>
      </c>
      <c r="I173" s="74">
        <f t="shared" si="19"/>
        <v>3.3888275862068959</v>
      </c>
      <c r="J173" s="74">
        <f t="shared" si="20"/>
        <v>3.1331321839080477</v>
      </c>
      <c r="K173" s="74"/>
      <c r="L173" s="124"/>
    </row>
    <row r="174" spans="1:12">
      <c r="A174" s="122">
        <v>5.6000000000000014</v>
      </c>
      <c r="B174" s="71">
        <v>43906</v>
      </c>
      <c r="C174" s="30">
        <f t="shared" si="18"/>
        <v>3.2679999999999985</v>
      </c>
      <c r="D174" s="124">
        <v>5715.9</v>
      </c>
      <c r="E174" s="74">
        <f t="shared" si="14"/>
        <v>4.0773333333333337</v>
      </c>
      <c r="F174" s="74">
        <f t="shared" si="15"/>
        <v>2.4966666666660178</v>
      </c>
      <c r="G174" s="74">
        <f t="shared" si="16"/>
        <v>2.8725714285714288</v>
      </c>
      <c r="H174" s="74">
        <f t="shared" si="17"/>
        <v>2.7705357142856566</v>
      </c>
      <c r="I174" s="74">
        <f t="shared" si="19"/>
        <v>3.3704367816091949</v>
      </c>
      <c r="J174" s="74">
        <f t="shared" si="20"/>
        <v>3.0823994252873557</v>
      </c>
      <c r="K174" s="74" t="s">
        <v>383</v>
      </c>
    </row>
    <row r="175" spans="1:12">
      <c r="A175" s="122">
        <v>7.6999999999999993</v>
      </c>
      <c r="B175" s="71">
        <v>43907</v>
      </c>
      <c r="C175" s="30">
        <f t="shared" si="18"/>
        <v>5.4680000000000017</v>
      </c>
      <c r="D175" s="124">
        <v>5724.8</v>
      </c>
      <c r="E175" s="74">
        <f t="shared" si="14"/>
        <v>3.3439999999999994</v>
      </c>
      <c r="F175" s="74">
        <f t="shared" si="15"/>
        <v>3.9679166666669095</v>
      </c>
      <c r="G175" s="74">
        <f t="shared" si="16"/>
        <v>2.9678095238095237</v>
      </c>
      <c r="H175" s="74">
        <f t="shared" si="17"/>
        <v>2.6495238095237745</v>
      </c>
      <c r="I175" s="74">
        <f t="shared" si="19"/>
        <v>3.4508965517241377</v>
      </c>
      <c r="J175" s="74">
        <f t="shared" si="20"/>
        <v>3.0839367816092005</v>
      </c>
      <c r="K175" s="117" t="s">
        <v>382</v>
      </c>
    </row>
    <row r="176" spans="1:12">
      <c r="A176" s="122">
        <v>9.5</v>
      </c>
      <c r="B176" s="71">
        <v>43908</v>
      </c>
      <c r="C176" s="30">
        <f t="shared" si="18"/>
        <v>7.5679999999999996</v>
      </c>
      <c r="D176" s="124">
        <v>5730.7</v>
      </c>
      <c r="E176" s="74">
        <f t="shared" si="14"/>
        <v>2.6440000000000001</v>
      </c>
      <c r="F176" s="74">
        <f t="shared" si="15"/>
        <v>2.6304166666665041</v>
      </c>
      <c r="G176" s="74">
        <f t="shared" si="16"/>
        <v>2.8725714285714283</v>
      </c>
      <c r="H176" s="74">
        <f t="shared" si="17"/>
        <v>2.6877380952380254</v>
      </c>
      <c r="I176" s="74">
        <f t="shared" si="19"/>
        <v>3.5198620689655171</v>
      </c>
      <c r="J176" s="74">
        <f t="shared" si="20"/>
        <v>3.077787356321835</v>
      </c>
      <c r="K176" s="74" t="s">
        <v>381</v>
      </c>
    </row>
    <row r="177" spans="1:12">
      <c r="A177" s="122">
        <v>9.6000000000000014</v>
      </c>
      <c r="B177" s="71">
        <v>43909</v>
      </c>
      <c r="C177" s="30">
        <f t="shared" si="18"/>
        <v>9.3680000000000003</v>
      </c>
      <c r="D177" s="124">
        <v>5735.9</v>
      </c>
      <c r="E177" s="74">
        <f t="shared" si="14"/>
        <v>2.0439999999999996</v>
      </c>
      <c r="F177" s="74">
        <f t="shared" si="15"/>
        <v>2.3183333333332521</v>
      </c>
      <c r="G177" s="74">
        <f t="shared" si="16"/>
        <v>2.9392380952380952</v>
      </c>
      <c r="H177" s="74">
        <f t="shared" si="17"/>
        <v>2.7450595238094309</v>
      </c>
      <c r="I177" s="74">
        <f t="shared" si="19"/>
        <v>3.5646896551724137</v>
      </c>
      <c r="J177" s="74">
        <f t="shared" si="20"/>
        <v>3.100847701149422</v>
      </c>
      <c r="K177" s="74"/>
    </row>
    <row r="178" spans="1:12">
      <c r="A178" s="122">
        <v>9.3000000000000007</v>
      </c>
      <c r="B178" s="71">
        <v>43910</v>
      </c>
      <c r="C178" s="30">
        <f t="shared" si="18"/>
        <v>9.4680000000000017</v>
      </c>
      <c r="D178" s="124">
        <v>5740.7</v>
      </c>
      <c r="E178" s="74">
        <f t="shared" si="14"/>
        <v>2.0106666666666659</v>
      </c>
      <c r="F178" s="74">
        <f t="shared" si="15"/>
        <v>2.1400000000000809</v>
      </c>
      <c r="G178" s="74">
        <f t="shared" si="16"/>
        <v>3.1487619047619044</v>
      </c>
      <c r="H178" s="74">
        <f t="shared" si="17"/>
        <v>2.8788095238095694</v>
      </c>
      <c r="I178" s="74">
        <f t="shared" si="19"/>
        <v>3.552045977011494</v>
      </c>
      <c r="J178" s="74">
        <f t="shared" si="20"/>
        <v>3.1208333333333331</v>
      </c>
      <c r="K178" s="74"/>
    </row>
    <row r="179" spans="1:12">
      <c r="A179" s="122">
        <v>2.6000000000000014</v>
      </c>
      <c r="B179" s="71">
        <v>43911</v>
      </c>
      <c r="C179" s="30">
        <f t="shared" si="18"/>
        <v>9.168000000000001</v>
      </c>
      <c r="D179" s="124">
        <v>5746.9</v>
      </c>
      <c r="E179" s="74">
        <f t="shared" si="14"/>
        <v>2.1106666666666665</v>
      </c>
      <c r="F179" s="74">
        <f t="shared" si="15"/>
        <v>2.7641666666665849</v>
      </c>
      <c r="G179" s="74">
        <f t="shared" si="16"/>
        <v>3.4535238095238094</v>
      </c>
      <c r="H179" s="74">
        <f t="shared" si="17"/>
        <v>2.7832738095237981</v>
      </c>
      <c r="I179" s="74">
        <f t="shared" si="19"/>
        <v>3.5508965517241373</v>
      </c>
      <c r="J179" s="74">
        <f t="shared" si="20"/>
        <v>3.1100718390804625</v>
      </c>
      <c r="K179" s="74"/>
    </row>
    <row r="180" spans="1:12">
      <c r="A180" s="122">
        <v>-1</v>
      </c>
      <c r="B180" s="71">
        <v>43912</v>
      </c>
      <c r="C180" s="30">
        <f t="shared" si="18"/>
        <v>2.4680000000000013</v>
      </c>
      <c r="D180" s="124">
        <v>5753.4</v>
      </c>
      <c r="E180" s="74">
        <f t="shared" si="14"/>
        <v>4.3439999999999994</v>
      </c>
      <c r="F180" s="74">
        <f t="shared" si="15"/>
        <v>2.8979166666666667</v>
      </c>
      <c r="G180" s="74">
        <f t="shared" si="16"/>
        <v>3.8059047619047623</v>
      </c>
      <c r="H180" s="74">
        <f t="shared" si="17"/>
        <v>2.9743452380952262</v>
      </c>
      <c r="I180" s="74">
        <f t="shared" si="19"/>
        <v>3.5359540229885051</v>
      </c>
      <c r="J180" s="74">
        <f t="shared" si="20"/>
        <v>3.0731752873563156</v>
      </c>
      <c r="K180" s="74"/>
    </row>
    <row r="181" spans="1:12">
      <c r="A181" s="122">
        <v>-0.80000000000000071</v>
      </c>
      <c r="B181" s="71">
        <v>43913</v>
      </c>
      <c r="C181" s="30">
        <f t="shared" si="18"/>
        <v>-1.1320000000000001</v>
      </c>
      <c r="D181" s="124">
        <v>5761.1</v>
      </c>
      <c r="E181" s="74">
        <f t="shared" si="14"/>
        <v>5.5440000000000005</v>
      </c>
      <c r="F181" s="74">
        <f t="shared" si="15"/>
        <v>3.4329166666669906</v>
      </c>
      <c r="G181" s="74">
        <f t="shared" si="16"/>
        <v>4.2154285714285713</v>
      </c>
      <c r="H181" s="74">
        <f t="shared" si="17"/>
        <v>3.3055357142857487</v>
      </c>
      <c r="I181" s="74">
        <f t="shared" si="19"/>
        <v>3.4830804597701142</v>
      </c>
      <c r="J181" s="74">
        <f t="shared" si="20"/>
        <v>3.0470402298850541</v>
      </c>
      <c r="K181" s="74"/>
    </row>
    <row r="182" spans="1:12">
      <c r="A182" s="122">
        <v>0.30000000000000071</v>
      </c>
      <c r="B182" s="71">
        <v>43914</v>
      </c>
      <c r="C182" s="30">
        <f t="shared" si="18"/>
        <v>-0.93200000000000072</v>
      </c>
      <c r="D182" s="124">
        <v>5768.5</v>
      </c>
      <c r="E182" s="74">
        <f t="shared" si="14"/>
        <v>5.4773333333333341</v>
      </c>
      <c r="F182" s="74">
        <f t="shared" si="15"/>
        <v>3.2991666666665043</v>
      </c>
      <c r="G182" s="74">
        <f t="shared" si="16"/>
        <v>4.5297142857142854</v>
      </c>
      <c r="H182" s="74">
        <f t="shared" si="17"/>
        <v>3.4074404761904762</v>
      </c>
      <c r="I182" s="74">
        <f t="shared" si="19"/>
        <v>3.4037701149425281</v>
      </c>
      <c r="J182" s="74">
        <f t="shared" si="20"/>
        <v>2.9563362068965544</v>
      </c>
      <c r="K182" s="74"/>
    </row>
    <row r="183" spans="1:12">
      <c r="A183" s="122">
        <v>0.89999999999999858</v>
      </c>
      <c r="B183" s="71">
        <v>43915</v>
      </c>
      <c r="C183" s="30">
        <f t="shared" si="18"/>
        <v>0.1680000000000007</v>
      </c>
      <c r="D183" s="124">
        <v>5777.4</v>
      </c>
      <c r="E183" s="74">
        <f t="shared" si="14"/>
        <v>5.110666666666666</v>
      </c>
      <c r="F183" s="74">
        <f t="shared" si="15"/>
        <v>3.967916666666504</v>
      </c>
      <c r="G183" s="74">
        <f t="shared" si="16"/>
        <v>4.5249523809523806</v>
      </c>
      <c r="H183" s="74">
        <f t="shared" si="17"/>
        <v>3.3755952380952379</v>
      </c>
      <c r="I183" s="74">
        <f t="shared" si="19"/>
        <v>3.3233103448275858</v>
      </c>
      <c r="J183" s="74">
        <f t="shared" si="20"/>
        <v>2.9025287356321869</v>
      </c>
      <c r="K183" s="74"/>
    </row>
    <row r="184" spans="1:12">
      <c r="A184" s="122">
        <v>3</v>
      </c>
      <c r="B184" s="71">
        <v>43916</v>
      </c>
      <c r="C184" s="30">
        <f t="shared" si="18"/>
        <v>0.76799999999999857</v>
      </c>
      <c r="D184" s="124">
        <v>5787.8</v>
      </c>
      <c r="E184" s="74">
        <f t="shared" si="14"/>
        <v>4.9106666666666676</v>
      </c>
      <c r="F184" s="74">
        <f t="shared" si="15"/>
        <v>4.6366666666669092</v>
      </c>
      <c r="G184" s="74">
        <f t="shared" si="16"/>
        <v>4.2297142857142864</v>
      </c>
      <c r="H184" s="74">
        <f t="shared" si="17"/>
        <v>3.2418452380952729</v>
      </c>
      <c r="I184" s="74">
        <f t="shared" si="19"/>
        <v>3.2336551724137932</v>
      </c>
      <c r="J184" s="74">
        <f t="shared" si="20"/>
        <v>2.8225862068965428</v>
      </c>
      <c r="K184" s="74"/>
    </row>
    <row r="185" spans="1:12">
      <c r="A185" s="122">
        <v>9.3999999999999986</v>
      </c>
      <c r="B185" s="71">
        <v>43917</v>
      </c>
      <c r="C185" s="30">
        <f t="shared" si="18"/>
        <v>2.8679999999999999</v>
      </c>
      <c r="D185" s="124">
        <v>5794.2</v>
      </c>
      <c r="E185" s="74">
        <f t="shared" si="14"/>
        <v>4.2106666666666666</v>
      </c>
      <c r="F185" s="74">
        <f t="shared" si="15"/>
        <v>2.8533333333331705</v>
      </c>
      <c r="G185" s="74">
        <f t="shared" si="16"/>
        <v>3.9154285714285715</v>
      </c>
      <c r="H185" s="74">
        <f t="shared" si="17"/>
        <v>3.1717857142856678</v>
      </c>
      <c r="I185" s="74">
        <f t="shared" si="19"/>
        <v>3.1865287356321841</v>
      </c>
      <c r="J185" s="74">
        <f t="shared" si="20"/>
        <v>2.7457183908045892</v>
      </c>
      <c r="K185" s="74"/>
      <c r="L185" s="124"/>
    </row>
    <row r="186" spans="1:12">
      <c r="A186" s="122">
        <v>8.8000000000000007</v>
      </c>
      <c r="B186" s="71">
        <v>43918</v>
      </c>
      <c r="C186" s="30">
        <f t="shared" si="18"/>
        <v>9.2679999999999989</v>
      </c>
      <c r="D186" s="124">
        <v>5799.9</v>
      </c>
      <c r="E186" s="74">
        <f t="shared" si="14"/>
        <v>2.0773333333333337</v>
      </c>
      <c r="F186" s="74">
        <f t="shared" si="15"/>
        <v>2.5412499999999185</v>
      </c>
      <c r="G186" s="74">
        <f t="shared" si="16"/>
        <v>3.8440000000000003</v>
      </c>
      <c r="H186" s="74">
        <f t="shared" si="17"/>
        <v>3.203630952380963</v>
      </c>
      <c r="I186" s="74">
        <f t="shared" si="19"/>
        <v>3.1876781609195404</v>
      </c>
      <c r="J186" s="74">
        <f t="shared" si="20"/>
        <v>2.6796120689655059</v>
      </c>
      <c r="K186" s="74"/>
    </row>
    <row r="187" spans="1:12">
      <c r="A187" s="122">
        <v>5.6000000000000014</v>
      </c>
      <c r="B187" s="71">
        <v>43919</v>
      </c>
      <c r="C187" s="30">
        <f t="shared" si="18"/>
        <v>8.668000000000001</v>
      </c>
      <c r="D187" s="124">
        <v>5804.3</v>
      </c>
      <c r="E187" s="74">
        <f t="shared" si="14"/>
        <v>2.277333333333333</v>
      </c>
      <c r="F187" s="74">
        <f t="shared" si="15"/>
        <v>1.96166666666691</v>
      </c>
      <c r="G187" s="74">
        <f t="shared" si="16"/>
        <v>3.8249523809523813</v>
      </c>
      <c r="H187" s="74">
        <f t="shared" si="17"/>
        <v>3.1272023809524034</v>
      </c>
      <c r="I187" s="74">
        <f t="shared" si="19"/>
        <v>3.1543448275862067</v>
      </c>
      <c r="J187" s="74">
        <f t="shared" si="20"/>
        <v>2.6258045977011379</v>
      </c>
      <c r="K187" s="74"/>
    </row>
    <row r="188" spans="1:12">
      <c r="A188" s="122">
        <v>0.69999999999999929</v>
      </c>
      <c r="B188" s="71">
        <v>43920</v>
      </c>
      <c r="C188" s="30">
        <f t="shared" si="18"/>
        <v>5.4680000000000017</v>
      </c>
      <c r="D188" s="124">
        <v>5810.9</v>
      </c>
      <c r="E188" s="74">
        <f t="shared" si="14"/>
        <v>3.3439999999999994</v>
      </c>
      <c r="F188" s="74">
        <f t="shared" si="15"/>
        <v>2.9424999999997561</v>
      </c>
      <c r="G188" s="74">
        <f t="shared" si="16"/>
        <v>3.8297142857142856</v>
      </c>
      <c r="H188" s="74">
        <f t="shared" si="17"/>
        <v>2.9552380952380721</v>
      </c>
      <c r="I188" s="74">
        <f t="shared" si="19"/>
        <v>3.0520459770114945</v>
      </c>
      <c r="J188" s="74">
        <f t="shared" si="20"/>
        <v>2.5935201149425118</v>
      </c>
      <c r="K188" s="74"/>
    </row>
    <row r="189" spans="1:12">
      <c r="A189" s="122">
        <v>0.69999999999999929</v>
      </c>
      <c r="B189" s="71">
        <v>43921</v>
      </c>
      <c r="C189" s="30">
        <f t="shared" si="18"/>
        <v>0.56799999999999928</v>
      </c>
      <c r="D189" s="124">
        <v>5818.8</v>
      </c>
      <c r="E189" s="74">
        <f t="shared" si="14"/>
        <v>4.9773333333333332</v>
      </c>
      <c r="F189" s="74">
        <f t="shared" si="15"/>
        <v>3.5220833333335761</v>
      </c>
      <c r="G189" s="74">
        <f t="shared" si="16"/>
        <v>3.7582857142857145</v>
      </c>
      <c r="H189" s="74">
        <f t="shared" si="17"/>
        <v>3.0125595238095353</v>
      </c>
      <c r="I189" s="74">
        <f t="shared" si="19"/>
        <v>2.9796321839080462</v>
      </c>
      <c r="J189" s="74">
        <f t="shared" si="20"/>
        <v>2.5535488505747184</v>
      </c>
      <c r="K189" s="128"/>
      <c r="L189" s="124"/>
    </row>
    <row r="190" spans="1:12">
      <c r="A190" s="122">
        <v>0.80000000000000071</v>
      </c>
      <c r="B190" s="71">
        <v>43922</v>
      </c>
      <c r="C190" s="30">
        <f t="shared" si="18"/>
        <v>0.56799999999999928</v>
      </c>
      <c r="D190" s="124">
        <v>5826.5</v>
      </c>
      <c r="E190" s="74">
        <f t="shared" si="14"/>
        <v>4.9773333333333332</v>
      </c>
      <c r="F190" s="74">
        <f t="shared" si="15"/>
        <v>3.4329166666665856</v>
      </c>
      <c r="G190" s="74">
        <f t="shared" si="16"/>
        <v>3.9725714285714284</v>
      </c>
      <c r="H190" s="74">
        <f t="shared" si="17"/>
        <v>3.1590476190476418</v>
      </c>
      <c r="I190" s="74">
        <f t="shared" si="19"/>
        <v>2.9957241379310346</v>
      </c>
      <c r="J190" s="74">
        <f t="shared" si="20"/>
        <v>2.4797557471264389</v>
      </c>
      <c r="K190" s="74"/>
    </row>
    <row r="191" spans="1:12">
      <c r="A191" s="122">
        <v>4.5</v>
      </c>
      <c r="B191" s="71">
        <v>43923</v>
      </c>
      <c r="C191" s="30">
        <f t="shared" si="18"/>
        <v>0.6680000000000007</v>
      </c>
      <c r="D191" s="124">
        <v>5834.2</v>
      </c>
      <c r="E191" s="74">
        <f t="shared" si="14"/>
        <v>4.944</v>
      </c>
      <c r="F191" s="74">
        <f t="shared" si="15"/>
        <v>3.4329166666665856</v>
      </c>
      <c r="G191" s="74">
        <f t="shared" si="16"/>
        <v>4.0106666666666673</v>
      </c>
      <c r="H191" s="74">
        <f t="shared" si="17"/>
        <v>3.229107142857131</v>
      </c>
      <c r="I191" s="74">
        <f t="shared" si="19"/>
        <v>3.0026206896551728</v>
      </c>
      <c r="J191" s="74">
        <f t="shared" si="20"/>
        <v>2.4443965517241382</v>
      </c>
      <c r="K191" s="74"/>
    </row>
    <row r="192" spans="1:12">
      <c r="A192" s="122">
        <v>4.8999999999999986</v>
      </c>
      <c r="B192" s="71">
        <v>43924</v>
      </c>
      <c r="C192" s="30">
        <f t="shared" si="18"/>
        <v>4.3680000000000003</v>
      </c>
      <c r="D192" s="124">
        <v>5841.5</v>
      </c>
      <c r="E192" s="74">
        <f t="shared" si="14"/>
        <v>3.7106666666666666</v>
      </c>
      <c r="F192" s="74">
        <f t="shared" si="15"/>
        <v>3.2545833333334144</v>
      </c>
      <c r="G192" s="74">
        <f t="shared" si="16"/>
        <v>3.8582857142857145</v>
      </c>
      <c r="H192" s="74">
        <f t="shared" si="17"/>
        <v>3.1144642857143205</v>
      </c>
      <c r="I192" s="74">
        <f t="shared" si="19"/>
        <v>2.9715862068965522</v>
      </c>
      <c r="J192" s="74">
        <f t="shared" si="20"/>
        <v>2.4151867816092016</v>
      </c>
      <c r="K192" s="74"/>
    </row>
    <row r="193" spans="1:12">
      <c r="A193" s="122">
        <v>8</v>
      </c>
      <c r="B193" s="71">
        <v>43925</v>
      </c>
      <c r="C193" s="30">
        <f t="shared" si="18"/>
        <v>4.7679999999999989</v>
      </c>
      <c r="D193" s="124">
        <v>5849.5</v>
      </c>
      <c r="E193" s="74">
        <f t="shared" si="14"/>
        <v>3.5773333333333337</v>
      </c>
      <c r="F193" s="74">
        <f t="shared" si="15"/>
        <v>3.5666666666666664</v>
      </c>
      <c r="G193" s="74">
        <f t="shared" si="16"/>
        <v>3.3154285714285718</v>
      </c>
      <c r="H193" s="74">
        <f t="shared" si="17"/>
        <v>2.8278571428571198</v>
      </c>
      <c r="I193" s="74">
        <f t="shared" si="19"/>
        <v>2.9279080459770119</v>
      </c>
      <c r="J193" s="74">
        <f t="shared" si="20"/>
        <v>2.3736781609195488</v>
      </c>
      <c r="K193" s="74"/>
    </row>
    <row r="194" spans="1:12">
      <c r="A194" s="122">
        <v>8.8000000000000007</v>
      </c>
      <c r="B194" s="71">
        <v>43926</v>
      </c>
      <c r="C194" s="30">
        <f t="shared" si="18"/>
        <v>7.8680000000000003</v>
      </c>
      <c r="D194" s="124">
        <v>5855</v>
      </c>
      <c r="E194" s="74">
        <f t="shared" si="14"/>
        <v>2.5439999999999996</v>
      </c>
      <c r="F194" s="74">
        <f t="shared" si="15"/>
        <v>2.4520833333333329</v>
      </c>
      <c r="G194" s="74">
        <f t="shared" si="16"/>
        <v>2.7392380952380955</v>
      </c>
      <c r="H194" s="74">
        <f t="shared" si="17"/>
        <v>2.5348809523809632</v>
      </c>
      <c r="I194" s="74">
        <f t="shared" si="19"/>
        <v>2.883080459770115</v>
      </c>
      <c r="J194" s="74">
        <f t="shared" si="20"/>
        <v>2.3198706896551804</v>
      </c>
      <c r="K194" s="74"/>
    </row>
    <row r="195" spans="1:12">
      <c r="A195" s="122">
        <v>12.100000000000001</v>
      </c>
      <c r="B195" s="71">
        <v>43927</v>
      </c>
      <c r="C195" s="30">
        <f t="shared" si="18"/>
        <v>8.668000000000001</v>
      </c>
      <c r="D195" s="124">
        <v>5859.8</v>
      </c>
      <c r="E195" s="74">
        <f t="shared" si="14"/>
        <v>2.277333333333333</v>
      </c>
      <c r="F195" s="74">
        <f t="shared" si="15"/>
        <v>2.1400000000000809</v>
      </c>
      <c r="G195" s="74">
        <f t="shared" si="16"/>
        <v>2.1630476190476191</v>
      </c>
      <c r="H195" s="74">
        <f t="shared" si="17"/>
        <v>2.2419047619047503</v>
      </c>
      <c r="I195" s="74">
        <f t="shared" si="19"/>
        <v>2.7853793103448274</v>
      </c>
      <c r="J195" s="74">
        <f t="shared" si="20"/>
        <v>2.2583764367816173</v>
      </c>
      <c r="K195" s="74"/>
    </row>
    <row r="196" spans="1:12">
      <c r="A196" s="122">
        <v>12.8</v>
      </c>
      <c r="B196" s="71">
        <v>43928</v>
      </c>
      <c r="C196" s="30">
        <f t="shared" si="18"/>
        <v>11.968000000000002</v>
      </c>
      <c r="D196" s="124">
        <v>5863.2</v>
      </c>
      <c r="E196" s="74">
        <f t="shared" si="14"/>
        <v>1.1773333333333327</v>
      </c>
      <c r="F196" s="74">
        <f t="shared" si="15"/>
        <v>1.5158333333331708</v>
      </c>
      <c r="G196" s="74">
        <f t="shared" si="16"/>
        <v>1.7535238095238095</v>
      </c>
      <c r="H196" s="74">
        <f t="shared" si="17"/>
        <v>1.8788690476190477</v>
      </c>
      <c r="I196" s="74">
        <f t="shared" si="19"/>
        <v>2.6750344827586199</v>
      </c>
      <c r="J196" s="74">
        <f t="shared" si="20"/>
        <v>2.1707471264367793</v>
      </c>
      <c r="K196" s="74"/>
    </row>
    <row r="197" spans="1:12">
      <c r="A197" s="122">
        <v>12.899999999999999</v>
      </c>
      <c r="B197" s="71">
        <v>43929</v>
      </c>
      <c r="C197" s="30">
        <f t="shared" si="18"/>
        <v>12.668000000000001</v>
      </c>
      <c r="D197" s="124">
        <v>5866.3</v>
      </c>
      <c r="E197" s="74">
        <f t="shared" si="14"/>
        <v>0.94399999999999962</v>
      </c>
      <c r="F197" s="74">
        <f t="shared" si="15"/>
        <v>1.3820833333334954</v>
      </c>
      <c r="G197" s="74">
        <f t="shared" si="16"/>
        <v>1.4392380952380948</v>
      </c>
      <c r="H197" s="74">
        <f t="shared" si="17"/>
        <v>1.5222023809523577</v>
      </c>
      <c r="I197" s="74">
        <f t="shared" si="19"/>
        <v>2.5485977011494247</v>
      </c>
      <c r="J197" s="74">
        <f t="shared" si="20"/>
        <v>2.0877298850574744</v>
      </c>
      <c r="K197" s="127" t="s">
        <v>380</v>
      </c>
    </row>
    <row r="198" spans="1:12">
      <c r="A198" s="122">
        <v>13.100000000000001</v>
      </c>
      <c r="B198" s="71">
        <v>43930</v>
      </c>
      <c r="C198" s="30">
        <f t="shared" si="18"/>
        <v>12.767999999999999</v>
      </c>
      <c r="D198" s="124">
        <v>5869.4</v>
      </c>
      <c r="E198" s="74">
        <f t="shared" ref="E198:E261" si="21">IF(C198&lt;E$3,(E$3-C198)*E$2/30,0)</f>
        <v>0.91066666666666707</v>
      </c>
      <c r="F198" s="74">
        <f t="shared" ref="F198:F259" si="22">(D198-D197)/(B198-B197)*10.7/24</f>
        <v>1.38208333333309</v>
      </c>
      <c r="G198" s="74">
        <f t="shared" si="16"/>
        <v>1.3344761904761901</v>
      </c>
      <c r="H198" s="74">
        <f t="shared" si="17"/>
        <v>1.3056547619047618</v>
      </c>
      <c r="I198" s="74">
        <f t="shared" si="19"/>
        <v>2.4290574712643678</v>
      </c>
      <c r="J198" s="74">
        <f t="shared" si="20"/>
        <v>1.9862643678161032</v>
      </c>
      <c r="K198" s="123">
        <v>93.5</v>
      </c>
      <c r="L198" s="124"/>
    </row>
    <row r="199" spans="1:12">
      <c r="A199" s="122">
        <v>11.5</v>
      </c>
      <c r="B199" s="71">
        <v>43931</v>
      </c>
      <c r="C199" s="30">
        <f t="shared" si="18"/>
        <v>12.968000000000002</v>
      </c>
      <c r="D199" s="124">
        <v>5871</v>
      </c>
      <c r="E199" s="74">
        <f t="shared" si="21"/>
        <v>0.84399999999999942</v>
      </c>
      <c r="F199" s="74">
        <f t="shared" si="22"/>
        <v>0.71333333333349547</v>
      </c>
      <c r="G199" s="74">
        <f t="shared" si="16"/>
        <v>1.1392380952380952</v>
      </c>
      <c r="H199" s="74">
        <f t="shared" si="17"/>
        <v>1.2228571428571311</v>
      </c>
      <c r="I199" s="74">
        <f t="shared" si="19"/>
        <v>2.3003218390804601</v>
      </c>
      <c r="J199" s="74">
        <f t="shared" si="20"/>
        <v>1.8586637931034433</v>
      </c>
      <c r="K199" s="127" t="s">
        <v>379</v>
      </c>
      <c r="L199" s="124"/>
    </row>
    <row r="200" spans="1:12">
      <c r="A200" s="122">
        <v>10.199999999999999</v>
      </c>
      <c r="B200" s="71">
        <v>43932</v>
      </c>
      <c r="C200" s="30">
        <f t="shared" si="18"/>
        <v>11.368</v>
      </c>
      <c r="D200" s="124">
        <v>5873.4</v>
      </c>
      <c r="E200" s="74">
        <f t="shared" si="21"/>
        <v>1.3773333333333331</v>
      </c>
      <c r="F200" s="74">
        <f t="shared" si="22"/>
        <v>1.0699999999998377</v>
      </c>
      <c r="G200" s="74">
        <f t="shared" si="16"/>
        <v>1.2535238095238095</v>
      </c>
      <c r="H200" s="74">
        <f t="shared" si="17"/>
        <v>1.197380952380964</v>
      </c>
      <c r="I200" s="74">
        <f t="shared" si="19"/>
        <v>2.1704367816091956</v>
      </c>
      <c r="J200" s="74">
        <f t="shared" si="20"/>
        <v>1.7879454022988539</v>
      </c>
      <c r="K200" s="127">
        <v>78.5</v>
      </c>
      <c r="L200" s="124"/>
    </row>
    <row r="201" spans="1:12">
      <c r="A201" s="122">
        <v>12.899999999999999</v>
      </c>
      <c r="B201" s="71">
        <v>43933</v>
      </c>
      <c r="C201" s="30">
        <f t="shared" si="18"/>
        <v>10.068</v>
      </c>
      <c r="D201" s="124">
        <v>5875.5</v>
      </c>
      <c r="E201" s="74">
        <f t="shared" si="21"/>
        <v>1.8106666666666669</v>
      </c>
      <c r="F201" s="74">
        <f t="shared" si="22"/>
        <v>0.93625000000016223</v>
      </c>
      <c r="G201" s="74">
        <f t="shared" ref="G201:G256" si="23">SUM(E198:E204)/7</f>
        <v>1.6630476190476193</v>
      </c>
      <c r="H201" s="74">
        <f t="shared" ref="H201:H256" si="24">SUM(F198:F204)/7</f>
        <v>1.2610714285714402</v>
      </c>
      <c r="I201" s="74">
        <f t="shared" si="19"/>
        <v>2.1635402298850575</v>
      </c>
      <c r="J201" s="74">
        <f t="shared" si="20"/>
        <v>1.729525862068966</v>
      </c>
      <c r="K201" s="74"/>
    </row>
    <row r="202" spans="1:12">
      <c r="A202" s="122">
        <v>9.6999999999999993</v>
      </c>
      <c r="B202" s="71">
        <v>43934</v>
      </c>
      <c r="C202" s="30">
        <f t="shared" ref="C202:C265" si="25">A201+A$1</f>
        <v>12.767999999999999</v>
      </c>
      <c r="D202" s="124">
        <v>5879</v>
      </c>
      <c r="E202" s="74">
        <f t="shared" si="21"/>
        <v>0.91066666666666707</v>
      </c>
      <c r="F202" s="74">
        <f t="shared" si="22"/>
        <v>1.5604166666666666</v>
      </c>
      <c r="G202" s="74">
        <f t="shared" si="23"/>
        <v>1.9392380952380954</v>
      </c>
      <c r="H202" s="74">
        <f t="shared" si="24"/>
        <v>1.292916666666678</v>
      </c>
      <c r="I202" s="74">
        <f t="shared" si="19"/>
        <v>2.1566436781609197</v>
      </c>
      <c r="J202" s="74">
        <f t="shared" si="20"/>
        <v>1.7049281609195346</v>
      </c>
      <c r="K202" s="74"/>
    </row>
    <row r="203" spans="1:12">
      <c r="A203" s="122">
        <v>4.1999999999999993</v>
      </c>
      <c r="B203" s="71">
        <v>43935</v>
      </c>
      <c r="C203" s="30">
        <f t="shared" si="25"/>
        <v>9.5679999999999996</v>
      </c>
      <c r="D203" s="124">
        <v>5882</v>
      </c>
      <c r="E203" s="74">
        <f t="shared" si="21"/>
        <v>1.9773333333333336</v>
      </c>
      <c r="F203" s="74">
        <f t="shared" si="22"/>
        <v>1.3374999999999997</v>
      </c>
      <c r="G203" s="74">
        <f t="shared" si="23"/>
        <v>1.9820952380952381</v>
      </c>
      <c r="H203" s="74">
        <f t="shared" si="24"/>
        <v>1.4011904761904759</v>
      </c>
      <c r="I203" s="74">
        <f t="shared" si="19"/>
        <v>2.0658390804597704</v>
      </c>
      <c r="J203" s="74">
        <f t="shared" si="20"/>
        <v>1.6249856321839193</v>
      </c>
      <c r="K203" s="74"/>
    </row>
    <row r="204" spans="1:12">
      <c r="A204" s="122">
        <v>7.1000000000000014</v>
      </c>
      <c r="B204" s="71">
        <v>43936</v>
      </c>
      <c r="C204" s="30">
        <f t="shared" si="25"/>
        <v>4.0679999999999996</v>
      </c>
      <c r="D204" s="124">
        <v>5886.1</v>
      </c>
      <c r="E204" s="74">
        <f t="shared" si="21"/>
        <v>3.8106666666666671</v>
      </c>
      <c r="F204" s="74">
        <f t="shared" si="22"/>
        <v>1.8279166666668287</v>
      </c>
      <c r="G204" s="74">
        <f t="shared" si="23"/>
        <v>1.8916190476190475</v>
      </c>
      <c r="H204" s="74">
        <f t="shared" si="24"/>
        <v>1.3820833333333795</v>
      </c>
      <c r="I204" s="74">
        <f t="shared" si="19"/>
        <v>1.8942068965517245</v>
      </c>
      <c r="J204" s="74">
        <f t="shared" si="20"/>
        <v>1.5204454022988452</v>
      </c>
      <c r="K204" s="74"/>
    </row>
    <row r="205" spans="1:12">
      <c r="A205" s="122">
        <v>12.2</v>
      </c>
      <c r="B205" s="71">
        <v>43937</v>
      </c>
      <c r="C205" s="30">
        <f t="shared" si="25"/>
        <v>6.9680000000000017</v>
      </c>
      <c r="D205" s="124">
        <v>5889.7</v>
      </c>
      <c r="E205" s="74">
        <f t="shared" si="21"/>
        <v>2.8439999999999994</v>
      </c>
      <c r="F205" s="74">
        <f t="shared" si="22"/>
        <v>1.6049999999997564</v>
      </c>
      <c r="G205" s="74">
        <f t="shared" si="23"/>
        <v>1.7487619047619047</v>
      </c>
      <c r="H205" s="74">
        <f t="shared" si="24"/>
        <v>1.4202976190476306</v>
      </c>
      <c r="I205" s="74">
        <f t="shared" si="19"/>
        <v>1.736735632183908</v>
      </c>
      <c r="J205" s="74">
        <f t="shared" si="20"/>
        <v>1.4374281609195401</v>
      </c>
      <c r="K205" s="74"/>
    </row>
    <row r="206" spans="1:12">
      <c r="A206" s="122">
        <v>13.399999999999999</v>
      </c>
      <c r="B206" s="71">
        <v>43938</v>
      </c>
      <c r="C206" s="30">
        <f t="shared" si="25"/>
        <v>12.068</v>
      </c>
      <c r="D206" s="124">
        <v>5893</v>
      </c>
      <c r="E206" s="74">
        <f t="shared" si="21"/>
        <v>1.1440000000000003</v>
      </c>
      <c r="F206" s="74">
        <f t="shared" si="22"/>
        <v>1.471250000000081</v>
      </c>
      <c r="G206" s="74">
        <f t="shared" si="23"/>
        <v>1.8344761904761901</v>
      </c>
      <c r="H206" s="74">
        <f t="shared" si="24"/>
        <v>1.3566071428571544</v>
      </c>
      <c r="I206" s="74">
        <f t="shared" si="19"/>
        <v>1.58616091954023</v>
      </c>
      <c r="J206" s="74">
        <f t="shared" si="20"/>
        <v>1.3421120689655199</v>
      </c>
      <c r="K206" s="74"/>
    </row>
    <row r="207" spans="1:12">
      <c r="A207" s="122">
        <v>13.2</v>
      </c>
      <c r="B207" s="71">
        <v>43939</v>
      </c>
      <c r="C207" s="30">
        <f t="shared" si="25"/>
        <v>13.267999999999999</v>
      </c>
      <c r="D207" s="124">
        <v>5895.1</v>
      </c>
      <c r="E207" s="74">
        <f t="shared" si="21"/>
        <v>0.74400000000000033</v>
      </c>
      <c r="F207" s="74">
        <f t="shared" si="22"/>
        <v>0.93625000000016223</v>
      </c>
      <c r="G207" s="74">
        <f t="shared" si="23"/>
        <v>1.8868571428571426</v>
      </c>
      <c r="H207" s="74">
        <f t="shared" si="24"/>
        <v>1.2929166666666778</v>
      </c>
      <c r="I207" s="74">
        <f t="shared" si="19"/>
        <v>1.4919080459770115</v>
      </c>
      <c r="J207" s="74">
        <f t="shared" si="20"/>
        <v>1.254482758620695</v>
      </c>
      <c r="K207" s="74"/>
    </row>
    <row r="208" spans="1:12">
      <c r="A208" s="122">
        <v>11.100000000000001</v>
      </c>
      <c r="B208" s="71">
        <v>43940</v>
      </c>
      <c r="C208" s="30">
        <f t="shared" si="25"/>
        <v>13.068</v>
      </c>
      <c r="D208" s="124">
        <v>5897.8</v>
      </c>
      <c r="E208" s="74">
        <f t="shared" si="21"/>
        <v>0.81066666666666676</v>
      </c>
      <c r="F208" s="74">
        <f t="shared" si="22"/>
        <v>1.2037499999999188</v>
      </c>
      <c r="G208" s="74">
        <f t="shared" si="23"/>
        <v>1.601142857142857</v>
      </c>
      <c r="H208" s="74">
        <f t="shared" si="24"/>
        <v>1.1591666666666549</v>
      </c>
      <c r="I208" s="74">
        <f t="shared" si="19"/>
        <v>1.4309885057471265</v>
      </c>
      <c r="J208" s="74">
        <f t="shared" si="20"/>
        <v>1.1545545977011547</v>
      </c>
      <c r="K208" s="74"/>
    </row>
    <row r="209" spans="1:12">
      <c r="A209" s="122">
        <v>8.6000000000000014</v>
      </c>
      <c r="B209" s="71">
        <v>43941</v>
      </c>
      <c r="C209" s="30">
        <f t="shared" si="25"/>
        <v>10.968000000000002</v>
      </c>
      <c r="D209" s="124">
        <v>5900.3</v>
      </c>
      <c r="E209" s="74">
        <f t="shared" si="21"/>
        <v>1.5106666666666659</v>
      </c>
      <c r="F209" s="74">
        <f t="shared" si="22"/>
        <v>1.1145833333333333</v>
      </c>
      <c r="G209" s="74">
        <f t="shared" si="23"/>
        <v>1.4297142857142855</v>
      </c>
      <c r="H209" s="74">
        <f t="shared" si="24"/>
        <v>1.0763690476190821</v>
      </c>
      <c r="I209" s="74">
        <f t="shared" si="19"/>
        <v>1.4057011494252878</v>
      </c>
      <c r="J209" s="74">
        <f t="shared" si="20"/>
        <v>1.0945977011494219</v>
      </c>
      <c r="K209" s="74"/>
    </row>
    <row r="210" spans="1:12">
      <c r="A210" s="122">
        <v>10.199999999999999</v>
      </c>
      <c r="B210" s="71">
        <v>43942</v>
      </c>
      <c r="C210" s="30">
        <f t="shared" si="25"/>
        <v>8.4680000000000017</v>
      </c>
      <c r="D210" s="124">
        <v>5902.3</v>
      </c>
      <c r="E210" s="74">
        <f t="shared" si="21"/>
        <v>2.3439999999999994</v>
      </c>
      <c r="F210" s="74">
        <f t="shared" si="22"/>
        <v>0.89166666666666661</v>
      </c>
      <c r="G210" s="74">
        <f t="shared" si="23"/>
        <v>1.4344761904761907</v>
      </c>
      <c r="H210" s="74">
        <f t="shared" si="24"/>
        <v>0.99994047619046456</v>
      </c>
      <c r="I210" s="74">
        <f t="shared" si="19"/>
        <v>1.3712183908045981</v>
      </c>
      <c r="J210" s="74">
        <f t="shared" si="20"/>
        <v>1.0469396551724048</v>
      </c>
      <c r="K210" s="74"/>
    </row>
    <row r="211" spans="1:12">
      <c r="A211" s="122">
        <v>10.7</v>
      </c>
      <c r="B211" s="71">
        <v>43943</v>
      </c>
      <c r="C211" s="30">
        <f t="shared" si="25"/>
        <v>10.068</v>
      </c>
      <c r="D211" s="124">
        <v>5904.3</v>
      </c>
      <c r="E211" s="74">
        <f t="shared" si="21"/>
        <v>1.8106666666666669</v>
      </c>
      <c r="F211" s="74">
        <f t="shared" si="22"/>
        <v>0.89166666666666661</v>
      </c>
      <c r="G211" s="74">
        <f t="shared" si="23"/>
        <v>1.3916190476190473</v>
      </c>
      <c r="H211" s="74">
        <f t="shared" si="24"/>
        <v>0.98083333333331002</v>
      </c>
      <c r="I211" s="74">
        <f t="shared" si="19"/>
        <v>1.4183448275862072</v>
      </c>
      <c r="J211" s="74">
        <f t="shared" si="20"/>
        <v>1.0238793103448327</v>
      </c>
      <c r="K211" s="74"/>
    </row>
    <row r="212" spans="1:12">
      <c r="A212" s="122">
        <v>12.100000000000001</v>
      </c>
      <c r="B212" s="71">
        <v>43944</v>
      </c>
      <c r="C212" s="30">
        <f t="shared" si="25"/>
        <v>10.568</v>
      </c>
      <c r="D212" s="124">
        <v>5906.6</v>
      </c>
      <c r="E212" s="74">
        <f t="shared" si="21"/>
        <v>1.6440000000000003</v>
      </c>
      <c r="F212" s="74">
        <f t="shared" si="22"/>
        <v>1.0254166666667477</v>
      </c>
      <c r="G212" s="74">
        <f t="shared" si="23"/>
        <v>1.5439999999999994</v>
      </c>
      <c r="H212" s="74">
        <f t="shared" si="24"/>
        <v>0.92988095238091761</v>
      </c>
      <c r="I212" s="74">
        <f t="shared" si="19"/>
        <v>1.4666206896551726</v>
      </c>
      <c r="J212" s="74">
        <f t="shared" si="20"/>
        <v>1.0100431034482726</v>
      </c>
      <c r="K212" s="74"/>
      <c r="L212" s="124"/>
    </row>
    <row r="213" spans="1:12">
      <c r="A213" s="122">
        <v>14.3</v>
      </c>
      <c r="B213" s="71">
        <v>43945</v>
      </c>
      <c r="C213" s="30">
        <f t="shared" si="25"/>
        <v>11.968000000000002</v>
      </c>
      <c r="D213" s="124">
        <v>5908.7</v>
      </c>
      <c r="E213" s="74">
        <f t="shared" si="21"/>
        <v>1.1773333333333327</v>
      </c>
      <c r="F213" s="74">
        <f t="shared" si="22"/>
        <v>0.93624999999975655</v>
      </c>
      <c r="G213" s="74">
        <f t="shared" si="23"/>
        <v>1.6249523809523809</v>
      </c>
      <c r="H213" s="74">
        <f t="shared" si="24"/>
        <v>0.94898809523807182</v>
      </c>
      <c r="I213" s="74">
        <f t="shared" ref="I213:I240" si="26">SUM(E199:E227)/29</f>
        <v>1.482712643678161</v>
      </c>
      <c r="J213" s="74">
        <f t="shared" ref="J213:J240" si="27">SUM(F199:F227)/29</f>
        <v>0.99620689655172645</v>
      </c>
      <c r="K213" s="74"/>
    </row>
    <row r="214" spans="1:12">
      <c r="A214" s="122">
        <v>10</v>
      </c>
      <c r="B214" s="71">
        <v>43946</v>
      </c>
      <c r="C214" s="30">
        <f t="shared" si="25"/>
        <v>14.168000000000001</v>
      </c>
      <c r="D214" s="124">
        <v>5910.5</v>
      </c>
      <c r="E214" s="74">
        <f t="shared" si="21"/>
        <v>0.44399999999999967</v>
      </c>
      <c r="F214" s="74">
        <f t="shared" si="22"/>
        <v>0.80250000000008104</v>
      </c>
      <c r="G214" s="74">
        <f t="shared" si="23"/>
        <v>1.3916190476190475</v>
      </c>
      <c r="H214" s="74">
        <f t="shared" si="24"/>
        <v>0.91077380952382103</v>
      </c>
      <c r="I214" s="74">
        <f t="shared" si="26"/>
        <v>1.4689195402298854</v>
      </c>
      <c r="J214" s="74">
        <f t="shared" si="27"/>
        <v>1.0069683908045972</v>
      </c>
      <c r="K214" s="74"/>
    </row>
    <row r="215" spans="1:12">
      <c r="A215" s="122">
        <v>9.3999999999999986</v>
      </c>
      <c r="B215" s="71">
        <v>43947</v>
      </c>
      <c r="C215" s="30">
        <f t="shared" si="25"/>
        <v>9.8680000000000003</v>
      </c>
      <c r="D215" s="124">
        <v>5912.4</v>
      </c>
      <c r="E215" s="74">
        <f t="shared" si="21"/>
        <v>1.8773333333333331</v>
      </c>
      <c r="F215" s="74">
        <f t="shared" si="22"/>
        <v>0.84708333333317098</v>
      </c>
      <c r="G215" s="74">
        <f t="shared" si="23"/>
        <v>1.1329523809523807</v>
      </c>
      <c r="H215" s="74">
        <f t="shared" si="24"/>
        <v>0.85345238095235765</v>
      </c>
      <c r="I215" s="74">
        <f t="shared" si="26"/>
        <v>1.4214252873563218</v>
      </c>
      <c r="J215" s="74">
        <f t="shared" si="27"/>
        <v>0.99466954022989573</v>
      </c>
      <c r="K215" s="74"/>
    </row>
    <row r="216" spans="1:12">
      <c r="A216" s="122">
        <v>13.5</v>
      </c>
      <c r="B216" s="71">
        <v>43948</v>
      </c>
      <c r="C216" s="30">
        <f t="shared" si="25"/>
        <v>9.2679999999999989</v>
      </c>
      <c r="D216" s="124">
        <v>5915.2</v>
      </c>
      <c r="E216" s="74">
        <f t="shared" si="21"/>
        <v>2.0773333333333337</v>
      </c>
      <c r="F216" s="74">
        <f t="shared" si="22"/>
        <v>1.2483333333334143</v>
      </c>
      <c r="G216" s="74">
        <f t="shared" si="23"/>
        <v>0.95676190476190459</v>
      </c>
      <c r="H216" s="74">
        <f t="shared" si="24"/>
        <v>0.85345238095235754</v>
      </c>
      <c r="I216" s="74">
        <f t="shared" si="26"/>
        <v>1.3589885057471263</v>
      </c>
      <c r="J216" s="74">
        <f t="shared" si="27"/>
        <v>0.98083333333333567</v>
      </c>
      <c r="K216" s="74"/>
      <c r="L216" s="124"/>
    </row>
    <row r="217" spans="1:12">
      <c r="A217" s="122">
        <v>16.399999999999999</v>
      </c>
      <c r="B217" s="71">
        <v>43949</v>
      </c>
      <c r="C217" s="30">
        <f t="shared" si="25"/>
        <v>13.368</v>
      </c>
      <c r="D217" s="124">
        <v>5916.6</v>
      </c>
      <c r="E217" s="74">
        <f t="shared" si="21"/>
        <v>0.71066666666666656</v>
      </c>
      <c r="F217" s="74">
        <f t="shared" si="22"/>
        <v>0.6241666666669099</v>
      </c>
      <c r="G217" s="74">
        <f t="shared" si="23"/>
        <v>0.87104761904761907</v>
      </c>
      <c r="H217" s="74">
        <f t="shared" si="24"/>
        <v>0.81523809523810675</v>
      </c>
      <c r="I217" s="74">
        <f t="shared" si="26"/>
        <v>1.3911724137931036</v>
      </c>
      <c r="J217" s="74">
        <f t="shared" si="27"/>
        <v>0.93778735632183863</v>
      </c>
      <c r="K217" s="74"/>
    </row>
    <row r="218" spans="1:12">
      <c r="A218" s="122">
        <v>14.4</v>
      </c>
      <c r="B218" s="71">
        <v>43950</v>
      </c>
      <c r="C218" s="30">
        <f t="shared" si="25"/>
        <v>16.267999999999997</v>
      </c>
      <c r="D218" s="124">
        <v>5917.7</v>
      </c>
      <c r="E218" s="74">
        <f t="shared" si="21"/>
        <v>0</v>
      </c>
      <c r="F218" s="74">
        <f t="shared" si="22"/>
        <v>0.49041666666642336</v>
      </c>
      <c r="G218" s="74">
        <f t="shared" si="23"/>
        <v>0.94723809523809521</v>
      </c>
      <c r="H218" s="74">
        <f t="shared" si="24"/>
        <v>0.80250000000002308</v>
      </c>
      <c r="I218" s="74">
        <f t="shared" si="26"/>
        <v>1.431402298850575</v>
      </c>
      <c r="J218" s="74">
        <f t="shared" si="27"/>
        <v>0.91011494252873237</v>
      </c>
      <c r="K218" s="74"/>
    </row>
    <row r="219" spans="1:12">
      <c r="A219" s="122">
        <v>13.899999999999999</v>
      </c>
      <c r="B219" s="71">
        <v>43951</v>
      </c>
      <c r="C219" s="30">
        <f t="shared" si="25"/>
        <v>14.268000000000001</v>
      </c>
      <c r="D219" s="124">
        <v>5920</v>
      </c>
      <c r="E219" s="74">
        <f t="shared" si="21"/>
        <v>0.41066666666666646</v>
      </c>
      <c r="F219" s="74">
        <f t="shared" si="22"/>
        <v>1.0254166666667477</v>
      </c>
      <c r="G219" s="74">
        <f t="shared" si="23"/>
        <v>0.93771428571428583</v>
      </c>
      <c r="H219" s="74">
        <f t="shared" si="24"/>
        <v>0.77702380952385586</v>
      </c>
      <c r="I219" s="74">
        <f t="shared" si="26"/>
        <v>1.3842758620689657</v>
      </c>
      <c r="J219" s="74">
        <f t="shared" si="27"/>
        <v>0.89781609195401701</v>
      </c>
      <c r="K219" s="74"/>
    </row>
    <row r="220" spans="1:12">
      <c r="A220" s="122">
        <v>12.7</v>
      </c>
      <c r="B220" s="71">
        <v>43952</v>
      </c>
      <c r="C220" s="30">
        <f t="shared" si="25"/>
        <v>13.767999999999999</v>
      </c>
      <c r="D220" s="126">
        <v>5921.5</v>
      </c>
      <c r="E220" s="74">
        <f t="shared" si="21"/>
        <v>0.5773333333333337</v>
      </c>
      <c r="F220" s="74">
        <f t="shared" si="22"/>
        <v>0.66874999999999984</v>
      </c>
      <c r="G220" s="74">
        <f t="shared" si="23"/>
        <v>0.89961904761904776</v>
      </c>
      <c r="H220" s="74">
        <f t="shared" si="24"/>
        <v>0.70059523809523816</v>
      </c>
      <c r="I220" s="74">
        <f t="shared" si="26"/>
        <v>1.3463448275862069</v>
      </c>
      <c r="J220" s="74">
        <f t="shared" si="27"/>
        <v>0.91626436781609721</v>
      </c>
      <c r="K220" s="74"/>
    </row>
    <row r="221" spans="1:12">
      <c r="A221" s="122">
        <v>10.199999999999999</v>
      </c>
      <c r="B221" s="71">
        <v>43953</v>
      </c>
      <c r="C221" s="30">
        <f t="shared" si="25"/>
        <v>12.568</v>
      </c>
      <c r="D221" s="126">
        <v>5923.1</v>
      </c>
      <c r="E221" s="74">
        <f t="shared" si="21"/>
        <v>0.9773333333333335</v>
      </c>
      <c r="F221" s="74">
        <f t="shared" si="22"/>
        <v>0.71333333333349547</v>
      </c>
      <c r="G221" s="74">
        <f t="shared" si="23"/>
        <v>0.98057142857142865</v>
      </c>
      <c r="H221" s="74">
        <f t="shared" si="24"/>
        <v>0.71970238095233452</v>
      </c>
      <c r="I221" s="74">
        <f t="shared" si="26"/>
        <v>1.3681839080459768</v>
      </c>
      <c r="J221" s="74">
        <f t="shared" si="27"/>
        <v>0.90857758620690177</v>
      </c>
      <c r="K221" s="74"/>
    </row>
    <row r="222" spans="1:12">
      <c r="A222" s="122">
        <v>10.199999999999999</v>
      </c>
      <c r="B222" s="71">
        <v>43954</v>
      </c>
      <c r="C222" s="30">
        <f t="shared" si="25"/>
        <v>10.068</v>
      </c>
      <c r="D222" s="126">
        <v>5924.6</v>
      </c>
      <c r="E222" s="74">
        <f t="shared" si="21"/>
        <v>1.8106666666666669</v>
      </c>
      <c r="F222" s="74">
        <f t="shared" si="22"/>
        <v>0.66874999999999984</v>
      </c>
      <c r="G222" s="74">
        <f t="shared" si="23"/>
        <v>1.3440000000000001</v>
      </c>
      <c r="H222" s="74">
        <f t="shared" si="24"/>
        <v>0.77065476190478499</v>
      </c>
      <c r="I222" s="74">
        <f t="shared" si="26"/>
        <v>1.3934712643678158</v>
      </c>
      <c r="J222" s="74">
        <f t="shared" si="27"/>
        <v>0.91165229885056331</v>
      </c>
      <c r="K222" s="74"/>
    </row>
    <row r="223" spans="1:12">
      <c r="A223" s="122">
        <v>11.8</v>
      </c>
      <c r="B223" s="71">
        <v>43955</v>
      </c>
      <c r="C223" s="30">
        <f t="shared" si="25"/>
        <v>10.068</v>
      </c>
      <c r="D223" s="121">
        <v>5926.2</v>
      </c>
      <c r="E223" s="74">
        <f t="shared" si="21"/>
        <v>1.8106666666666669</v>
      </c>
      <c r="F223" s="74">
        <f t="shared" si="22"/>
        <v>0.71333333333309001</v>
      </c>
      <c r="G223" s="74">
        <f t="shared" si="23"/>
        <v>1.6201904761904762</v>
      </c>
      <c r="H223" s="74">
        <f t="shared" si="24"/>
        <v>0.76428571428571412</v>
      </c>
      <c r="I223" s="74">
        <f t="shared" si="26"/>
        <v>1.3888735632183904</v>
      </c>
      <c r="J223" s="74">
        <f t="shared" si="27"/>
        <v>0.91165229885057719</v>
      </c>
      <c r="K223" s="74"/>
    </row>
    <row r="224" spans="1:12">
      <c r="A224" s="122">
        <v>8</v>
      </c>
      <c r="B224" s="71">
        <v>43956</v>
      </c>
      <c r="C224" s="30">
        <f t="shared" si="25"/>
        <v>11.668000000000001</v>
      </c>
      <c r="D224" s="121">
        <v>5927.9</v>
      </c>
      <c r="E224" s="74">
        <f t="shared" si="21"/>
        <v>1.2773333333333332</v>
      </c>
      <c r="F224" s="74">
        <f t="shared" si="22"/>
        <v>0.75791666666658541</v>
      </c>
      <c r="G224" s="74">
        <f t="shared" si="23"/>
        <v>1.7344761904761903</v>
      </c>
      <c r="H224" s="74">
        <f t="shared" si="24"/>
        <v>0.808869047619036</v>
      </c>
      <c r="I224" s="74">
        <f t="shared" si="26"/>
        <v>1.3440459770114941</v>
      </c>
      <c r="J224" s="74">
        <f t="shared" si="27"/>
        <v>0.89474137931034159</v>
      </c>
      <c r="K224" s="74"/>
    </row>
    <row r="225" spans="1:12">
      <c r="A225" s="122">
        <v>8.6000000000000014</v>
      </c>
      <c r="B225" s="71">
        <v>43957</v>
      </c>
      <c r="C225" s="30">
        <f t="shared" si="25"/>
        <v>7.8680000000000003</v>
      </c>
      <c r="D225" s="121">
        <v>5929.8</v>
      </c>
      <c r="E225" s="74">
        <f t="shared" si="21"/>
        <v>2.5439999999999996</v>
      </c>
      <c r="F225" s="74">
        <f t="shared" si="22"/>
        <v>0.84708333333357666</v>
      </c>
      <c r="G225" s="74">
        <f t="shared" si="23"/>
        <v>1.6582857142857139</v>
      </c>
      <c r="H225" s="74">
        <f t="shared" si="24"/>
        <v>0.85345238095235765</v>
      </c>
      <c r="I225" s="74">
        <f t="shared" si="26"/>
        <v>1.2632183908045975</v>
      </c>
      <c r="J225" s="74">
        <f t="shared" si="27"/>
        <v>0.86860632183908015</v>
      </c>
    </row>
    <row r="226" spans="1:12">
      <c r="A226" s="122">
        <v>11.5</v>
      </c>
      <c r="B226" s="71">
        <v>43958</v>
      </c>
      <c r="C226" s="30">
        <f t="shared" si="25"/>
        <v>8.4680000000000017</v>
      </c>
      <c r="D226" s="121">
        <v>5932</v>
      </c>
      <c r="E226" s="74">
        <f t="shared" si="21"/>
        <v>2.3439999999999994</v>
      </c>
      <c r="F226" s="74">
        <f t="shared" si="22"/>
        <v>0.98083333333325218</v>
      </c>
      <c r="G226" s="74">
        <f t="shared" si="23"/>
        <v>1.3996190476190473</v>
      </c>
      <c r="H226" s="74">
        <f t="shared" si="24"/>
        <v>0.8598214285714284</v>
      </c>
      <c r="I226" s="74">
        <f t="shared" si="26"/>
        <v>1.2149425287356317</v>
      </c>
      <c r="J226" s="74">
        <f t="shared" si="27"/>
        <v>0.85015804597701394</v>
      </c>
    </row>
    <row r="227" spans="1:12">
      <c r="A227" s="122">
        <v>14.3</v>
      </c>
      <c r="B227" s="71">
        <v>43959</v>
      </c>
      <c r="C227" s="30">
        <f t="shared" si="25"/>
        <v>11.368</v>
      </c>
      <c r="D227" s="121">
        <v>5934.2</v>
      </c>
      <c r="E227" s="74">
        <f t="shared" si="21"/>
        <v>1.3773333333333331</v>
      </c>
      <c r="F227" s="74">
        <f t="shared" si="22"/>
        <v>0.98083333333325218</v>
      </c>
      <c r="G227" s="74">
        <f t="shared" si="23"/>
        <v>1.1409523809523807</v>
      </c>
      <c r="H227" s="74">
        <f t="shared" si="24"/>
        <v>0.83434523809526107</v>
      </c>
      <c r="I227" s="74">
        <f t="shared" si="26"/>
        <v>1.1724137931034477</v>
      </c>
      <c r="J227" s="74">
        <f t="shared" si="27"/>
        <v>0.82494540229884805</v>
      </c>
    </row>
    <row r="228" spans="1:12">
      <c r="A228" s="122">
        <v>16.899999999999999</v>
      </c>
      <c r="B228" s="71">
        <v>43960</v>
      </c>
      <c r="C228" s="30">
        <f t="shared" si="25"/>
        <v>14.168000000000001</v>
      </c>
      <c r="D228" s="121">
        <v>5936.5</v>
      </c>
      <c r="E228" s="74">
        <f t="shared" si="21"/>
        <v>0.44399999999999967</v>
      </c>
      <c r="F228" s="74">
        <f t="shared" si="22"/>
        <v>1.0254166666667477</v>
      </c>
      <c r="G228" s="74">
        <f t="shared" si="23"/>
        <v>1.2219047619047616</v>
      </c>
      <c r="H228" s="74">
        <f t="shared" si="24"/>
        <v>0.77065476190478499</v>
      </c>
      <c r="I228" s="74">
        <f t="shared" si="26"/>
        <v>1.1482758620689653</v>
      </c>
      <c r="J228" s="74">
        <f t="shared" si="27"/>
        <v>0.80403735632184159</v>
      </c>
    </row>
    <row r="229" spans="1:12">
      <c r="A229" s="122">
        <v>16.5</v>
      </c>
      <c r="B229" s="71">
        <v>43961</v>
      </c>
      <c r="C229" s="30">
        <f t="shared" si="25"/>
        <v>16.767999999999997</v>
      </c>
      <c r="D229" s="121">
        <v>5938.1</v>
      </c>
      <c r="E229" s="74">
        <f t="shared" si="21"/>
        <v>0</v>
      </c>
      <c r="F229" s="74">
        <f t="shared" si="22"/>
        <v>0.71333333333349547</v>
      </c>
      <c r="G229" s="74">
        <f t="shared" si="23"/>
        <v>1.3076190476190475</v>
      </c>
      <c r="H229" s="74">
        <f t="shared" si="24"/>
        <v>0.72607142857140516</v>
      </c>
      <c r="I229" s="74">
        <f t="shared" si="26"/>
        <v>1.1528735632183906</v>
      </c>
      <c r="J229" s="74">
        <f t="shared" si="27"/>
        <v>0.81095545977011474</v>
      </c>
      <c r="K229" s="127" t="s">
        <v>380</v>
      </c>
      <c r="L229" s="74"/>
    </row>
    <row r="230" spans="1:12">
      <c r="A230" s="122">
        <v>10.100000000000001</v>
      </c>
      <c r="B230" s="71">
        <v>43962</v>
      </c>
      <c r="C230" s="30">
        <f t="shared" si="25"/>
        <v>16.367999999999999</v>
      </c>
      <c r="D230" s="121">
        <v>5939.3</v>
      </c>
      <c r="E230" s="74">
        <f t="shared" si="21"/>
        <v>0</v>
      </c>
      <c r="F230" s="74">
        <f t="shared" si="22"/>
        <v>0.53499999999991887</v>
      </c>
      <c r="G230" s="74">
        <f t="shared" si="23"/>
        <v>1.3219047619047617</v>
      </c>
      <c r="H230" s="74">
        <f t="shared" si="24"/>
        <v>0.79613095238095233</v>
      </c>
      <c r="I230" s="74">
        <f t="shared" si="26"/>
        <v>1.132183908045977</v>
      </c>
      <c r="J230" s="74">
        <f t="shared" si="27"/>
        <v>0.81633620689655717</v>
      </c>
      <c r="K230" s="123">
        <v>55.5</v>
      </c>
    </row>
    <row r="231" spans="1:12">
      <c r="A231" s="122">
        <v>6.1999999999999993</v>
      </c>
      <c r="B231" s="71">
        <v>43963</v>
      </c>
      <c r="C231" s="30">
        <f t="shared" si="25"/>
        <v>9.9680000000000017</v>
      </c>
      <c r="D231" s="121">
        <v>5940</v>
      </c>
      <c r="E231" s="74">
        <f t="shared" si="21"/>
        <v>1.8439999999999992</v>
      </c>
      <c r="F231" s="74">
        <f t="shared" si="22"/>
        <v>0.31208333333325222</v>
      </c>
      <c r="G231" s="74">
        <f t="shared" si="23"/>
        <v>1.3742857142857141</v>
      </c>
      <c r="H231" s="74">
        <f t="shared" si="24"/>
        <v>0.96172619047621366</v>
      </c>
      <c r="I231" s="74">
        <f t="shared" si="26"/>
        <v>1.1103448275862069</v>
      </c>
      <c r="J231" s="74">
        <f t="shared" si="27"/>
        <v>0.77329022988506002</v>
      </c>
      <c r="K231" s="127" t="s">
        <v>379</v>
      </c>
    </row>
    <row r="232" spans="1:12">
      <c r="A232" s="122">
        <v>8.3000000000000007</v>
      </c>
      <c r="B232" s="71">
        <v>43964</v>
      </c>
      <c r="C232" s="30">
        <f t="shared" si="25"/>
        <v>6.0679999999999996</v>
      </c>
      <c r="D232" s="121">
        <v>5941.2</v>
      </c>
      <c r="E232" s="74">
        <f t="shared" si="21"/>
        <v>3.1440000000000001</v>
      </c>
      <c r="F232" s="74">
        <f t="shared" si="22"/>
        <v>0.53499999999991887</v>
      </c>
      <c r="G232" s="74">
        <f t="shared" si="23"/>
        <v>1.5647619047619048</v>
      </c>
      <c r="H232" s="74">
        <f t="shared" si="24"/>
        <v>0.99357142857145164</v>
      </c>
      <c r="I232" s="74">
        <f t="shared" si="26"/>
        <v>1.1195402298850576</v>
      </c>
      <c r="J232" s="74">
        <f t="shared" si="27"/>
        <v>0.78097701149424159</v>
      </c>
      <c r="K232" s="127">
        <v>40</v>
      </c>
    </row>
    <row r="233" spans="1:12">
      <c r="A233" s="122">
        <v>10.399999999999999</v>
      </c>
      <c r="B233" s="71">
        <v>43965</v>
      </c>
      <c r="C233" s="30">
        <f t="shared" si="25"/>
        <v>8.168000000000001</v>
      </c>
      <c r="D233" s="121">
        <v>5944.5</v>
      </c>
      <c r="E233" s="74">
        <f t="shared" si="21"/>
        <v>2.444</v>
      </c>
      <c r="F233" s="74">
        <f t="shared" si="22"/>
        <v>1.471250000000081</v>
      </c>
      <c r="G233" s="74">
        <f t="shared" si="23"/>
        <v>1.7758095238095239</v>
      </c>
      <c r="H233" s="74">
        <f t="shared" si="24"/>
        <v>1.0381547619047156</v>
      </c>
      <c r="I233" s="74">
        <f t="shared" si="26"/>
        <v>1.1405977011494253</v>
      </c>
      <c r="J233" s="74">
        <f t="shared" si="27"/>
        <v>0.8024999999999971</v>
      </c>
      <c r="K233" s="74"/>
    </row>
    <row r="234" spans="1:12">
      <c r="A234" s="122">
        <v>10.3</v>
      </c>
      <c r="B234" s="71">
        <v>43966</v>
      </c>
      <c r="C234" s="30">
        <f t="shared" si="25"/>
        <v>10.267999999999999</v>
      </c>
      <c r="D234" s="121">
        <v>5949.3</v>
      </c>
      <c r="E234" s="74">
        <f t="shared" si="21"/>
        <v>1.7440000000000002</v>
      </c>
      <c r="F234" s="74">
        <f t="shared" si="22"/>
        <v>2.1400000000000809</v>
      </c>
      <c r="G234" s="74">
        <f t="shared" si="23"/>
        <v>1.8725714285714286</v>
      </c>
      <c r="H234" s="74">
        <f t="shared" si="24"/>
        <v>1.1336904761904878</v>
      </c>
      <c r="I234" s="74">
        <f t="shared" si="26"/>
        <v>1.1635862068965519</v>
      </c>
      <c r="J234" s="74">
        <f t="shared" si="27"/>
        <v>0.80403735632184159</v>
      </c>
      <c r="K234" s="74"/>
    </row>
    <row r="235" spans="1:12">
      <c r="A235" s="122">
        <v>11.2</v>
      </c>
      <c r="B235" s="71">
        <v>43967</v>
      </c>
      <c r="C235" s="30">
        <f t="shared" si="25"/>
        <v>10.168000000000001</v>
      </c>
      <c r="D235" s="121">
        <v>5952.1</v>
      </c>
      <c r="E235" s="74">
        <f t="shared" si="21"/>
        <v>1.7773333333333332</v>
      </c>
      <c r="F235" s="74">
        <f t="shared" si="22"/>
        <v>1.2483333333334143</v>
      </c>
      <c r="G235" s="74">
        <f t="shared" si="23"/>
        <v>1.6392380952380954</v>
      </c>
      <c r="H235" s="74">
        <f t="shared" si="24"/>
        <v>1.1782738095238094</v>
      </c>
      <c r="I235" s="74">
        <f t="shared" si="26"/>
        <v>1.1681839080459773</v>
      </c>
      <c r="J235" s="74">
        <f t="shared" si="27"/>
        <v>0.81633620689655706</v>
      </c>
    </row>
    <row r="236" spans="1:12">
      <c r="A236" s="122">
        <v>13.600000000000001</v>
      </c>
      <c r="B236" s="71">
        <v>43968</v>
      </c>
      <c r="C236" s="30">
        <f t="shared" si="25"/>
        <v>11.068</v>
      </c>
      <c r="D236" s="121">
        <v>5954.4</v>
      </c>
      <c r="E236" s="74">
        <f t="shared" si="21"/>
        <v>1.4773333333333336</v>
      </c>
      <c r="F236" s="74">
        <f t="shared" si="22"/>
        <v>1.0254166666663422</v>
      </c>
      <c r="G236" s="74">
        <f t="shared" si="23"/>
        <v>1.1900952380952383</v>
      </c>
      <c r="H236" s="74">
        <f t="shared" si="24"/>
        <v>1.1209523809524042</v>
      </c>
      <c r="I236" s="74">
        <f t="shared" si="26"/>
        <v>1.1635862068965519</v>
      </c>
      <c r="J236" s="74">
        <f t="shared" si="27"/>
        <v>0.82863505747125854</v>
      </c>
      <c r="K236" s="74"/>
    </row>
    <row r="237" spans="1:12">
      <c r="A237" s="122">
        <v>15</v>
      </c>
      <c r="B237" s="71">
        <v>43969</v>
      </c>
      <c r="C237" s="30">
        <f t="shared" si="25"/>
        <v>13.468000000000002</v>
      </c>
      <c r="D237" s="121">
        <v>5957.1</v>
      </c>
      <c r="E237" s="74">
        <f t="shared" si="21"/>
        <v>0.67733333333333279</v>
      </c>
      <c r="F237" s="74">
        <f t="shared" si="22"/>
        <v>1.2037500000003243</v>
      </c>
      <c r="G237" s="74">
        <f t="shared" si="23"/>
        <v>0.89961904761904754</v>
      </c>
      <c r="H237" s="74">
        <f t="shared" si="24"/>
        <v>0.96172619047621366</v>
      </c>
      <c r="I237" s="74">
        <f t="shared" si="26"/>
        <v>1.1417471264367816</v>
      </c>
      <c r="J237" s="74">
        <f t="shared" si="27"/>
        <v>0.84815948275862152</v>
      </c>
      <c r="K237" s="74"/>
    </row>
    <row r="238" spans="1:12">
      <c r="A238" s="122">
        <v>17.399999999999999</v>
      </c>
      <c r="B238" s="71">
        <v>43970</v>
      </c>
      <c r="C238" s="30">
        <f t="shared" si="25"/>
        <v>14.868</v>
      </c>
      <c r="D238" s="121">
        <v>5958.5</v>
      </c>
      <c r="E238" s="74">
        <f t="shared" si="21"/>
        <v>0.21066666666666656</v>
      </c>
      <c r="F238" s="74">
        <f t="shared" si="22"/>
        <v>0.62416666666650444</v>
      </c>
      <c r="G238" s="74">
        <f t="shared" si="23"/>
        <v>0.70914285714285719</v>
      </c>
      <c r="H238" s="74">
        <f t="shared" si="24"/>
        <v>0.69804761904762114</v>
      </c>
      <c r="I238" s="74">
        <f t="shared" si="26"/>
        <v>1.0793103448275863</v>
      </c>
      <c r="J238" s="74">
        <f t="shared" si="27"/>
        <v>0.84785201149426104</v>
      </c>
      <c r="K238" s="74"/>
    </row>
    <row r="239" spans="1:12">
      <c r="A239" s="122">
        <v>14.4</v>
      </c>
      <c r="B239" s="71">
        <v>43971</v>
      </c>
      <c r="C239" s="30">
        <f t="shared" si="25"/>
        <v>17.267999999999997</v>
      </c>
      <c r="D239" s="121">
        <v>5958.8</v>
      </c>
      <c r="E239" s="74">
        <f t="shared" si="21"/>
        <v>0</v>
      </c>
      <c r="F239" s="74">
        <f t="shared" si="22"/>
        <v>0.13375000000008108</v>
      </c>
      <c r="G239" s="74">
        <f t="shared" si="23"/>
        <v>0.52342857142857135</v>
      </c>
      <c r="H239" s="74">
        <f t="shared" si="24"/>
        <v>0.56684523809521481</v>
      </c>
      <c r="I239" s="74">
        <f t="shared" si="26"/>
        <v>1.0402298850574714</v>
      </c>
      <c r="J239" s="74">
        <f t="shared" si="27"/>
        <v>0.82986494252874266</v>
      </c>
    </row>
    <row r="240" spans="1:12">
      <c r="A240" s="122">
        <v>14.4</v>
      </c>
      <c r="B240" s="71">
        <v>43972</v>
      </c>
      <c r="C240" s="30">
        <f t="shared" si="25"/>
        <v>14.268000000000001</v>
      </c>
      <c r="D240" s="121">
        <v>5959.6</v>
      </c>
      <c r="E240" s="74">
        <f t="shared" si="21"/>
        <v>0.41066666666666646</v>
      </c>
      <c r="F240" s="74">
        <f t="shared" si="22"/>
        <v>0.35666666666674773</v>
      </c>
      <c r="G240" s="74">
        <f t="shared" si="23"/>
        <v>0.39485714285714274</v>
      </c>
      <c r="H240" s="74">
        <f t="shared" si="24"/>
        <v>0.5636607142857375</v>
      </c>
      <c r="I240" s="74">
        <f t="shared" si="26"/>
        <v>0.95250574712643676</v>
      </c>
      <c r="J240" s="74">
        <f t="shared" si="27"/>
        <v>0.81003304597700521</v>
      </c>
    </row>
    <row r="241" spans="1:13">
      <c r="A241" s="122">
        <v>14.2</v>
      </c>
      <c r="B241" s="71">
        <v>43973</v>
      </c>
      <c r="C241" s="30">
        <f t="shared" si="25"/>
        <v>14.268000000000001</v>
      </c>
      <c r="D241" s="121">
        <v>5960.26</v>
      </c>
      <c r="E241" s="74">
        <f t="shared" si="21"/>
        <v>0.41066666666666646</v>
      </c>
      <c r="F241" s="74">
        <f t="shared" si="22"/>
        <v>0.29424999999993512</v>
      </c>
      <c r="G241" s="74">
        <f t="shared" si="23"/>
        <v>0.48057142857142854</v>
      </c>
      <c r="H241" s="74">
        <f t="shared" si="24"/>
        <v>0.53499999999997683</v>
      </c>
      <c r="I241" s="74"/>
      <c r="J241" s="74"/>
    </row>
    <row r="242" spans="1:13">
      <c r="A242" s="122">
        <v>13.899999999999999</v>
      </c>
      <c r="B242" s="71">
        <v>43974</v>
      </c>
      <c r="C242" s="30">
        <f t="shared" si="25"/>
        <v>14.068</v>
      </c>
      <c r="D242" s="121">
        <v>5961</v>
      </c>
      <c r="E242" s="74">
        <f t="shared" si="21"/>
        <v>0.47733333333333344</v>
      </c>
      <c r="F242" s="74">
        <f t="shared" si="22"/>
        <v>0.32991666666656932</v>
      </c>
      <c r="G242" s="74">
        <f t="shared" si="23"/>
        <v>0.65676190476190477</v>
      </c>
      <c r="H242" s="74">
        <f t="shared" si="24"/>
        <v>0.44583333333333336</v>
      </c>
      <c r="I242" s="74"/>
      <c r="J242" s="74"/>
      <c r="K242" s="74"/>
    </row>
    <row r="243" spans="1:13">
      <c r="A243" s="122">
        <v>11.8</v>
      </c>
      <c r="B243" s="71">
        <v>43975</v>
      </c>
      <c r="C243" s="30">
        <f t="shared" si="25"/>
        <v>13.767999999999999</v>
      </c>
      <c r="D243" s="126">
        <v>5963.25</v>
      </c>
      <c r="E243" s="74">
        <f t="shared" si="21"/>
        <v>0.5773333333333337</v>
      </c>
      <c r="F243" s="74">
        <f t="shared" si="22"/>
        <v>1.003125</v>
      </c>
      <c r="G243" s="74">
        <f t="shared" si="23"/>
        <v>0.7963809523809523</v>
      </c>
      <c r="H243" s="74">
        <f t="shared" si="24"/>
        <v>0.5477380952380605</v>
      </c>
      <c r="I243" s="74"/>
      <c r="J243" s="74"/>
      <c r="M243" s="74"/>
    </row>
    <row r="244" spans="1:13">
      <c r="A244" s="122">
        <v>11.3</v>
      </c>
      <c r="B244" s="71">
        <v>43976</v>
      </c>
      <c r="C244" s="30">
        <f t="shared" si="25"/>
        <v>11.668000000000001</v>
      </c>
      <c r="D244" s="126">
        <v>5965.5</v>
      </c>
      <c r="E244" s="74">
        <f t="shared" si="21"/>
        <v>1.2773333333333332</v>
      </c>
      <c r="F244" s="74">
        <f t="shared" si="22"/>
        <v>1.003125</v>
      </c>
      <c r="G244" s="74">
        <f t="shared" si="23"/>
        <v>0.82495238095238077</v>
      </c>
      <c r="H244" s="74">
        <f t="shared" si="24"/>
        <v>0.65601190476185844</v>
      </c>
      <c r="I244" s="74"/>
      <c r="J244" s="74"/>
    </row>
    <row r="245" spans="1:13">
      <c r="A245" s="122">
        <v>12.7</v>
      </c>
      <c r="B245" s="71">
        <v>43977</v>
      </c>
      <c r="C245" s="30">
        <f t="shared" si="25"/>
        <v>11.168000000000001</v>
      </c>
      <c r="D245" s="121">
        <v>5965.5</v>
      </c>
      <c r="E245" s="74">
        <f t="shared" si="21"/>
        <v>1.4439999999999997</v>
      </c>
      <c r="F245" s="74">
        <f t="shared" si="22"/>
        <v>0</v>
      </c>
      <c r="G245" s="74">
        <f t="shared" si="23"/>
        <v>0.92019047619047611</v>
      </c>
      <c r="H245" s="74">
        <f t="shared" si="24"/>
        <v>0.76683333333333104</v>
      </c>
      <c r="I245" s="74"/>
      <c r="J245" s="74"/>
    </row>
    <row r="246" spans="1:13">
      <c r="A246" s="122">
        <v>13.8</v>
      </c>
      <c r="B246" s="71">
        <v>43978</v>
      </c>
      <c r="C246" s="30">
        <f t="shared" si="25"/>
        <v>12.568</v>
      </c>
      <c r="D246" s="121">
        <v>5967.4</v>
      </c>
      <c r="E246" s="74">
        <f t="shared" si="21"/>
        <v>0.9773333333333335</v>
      </c>
      <c r="F246" s="74">
        <f t="shared" si="22"/>
        <v>0.84708333333317098</v>
      </c>
      <c r="G246" s="74">
        <f t="shared" si="23"/>
        <v>0.95352380952380944</v>
      </c>
      <c r="H246" s="74">
        <f t="shared" si="24"/>
        <v>0.86619047619049927</v>
      </c>
      <c r="I246" s="74"/>
      <c r="J246" s="74"/>
    </row>
    <row r="247" spans="1:13">
      <c r="A247" s="122">
        <v>12.399999999999999</v>
      </c>
      <c r="B247" s="71">
        <v>43979</v>
      </c>
      <c r="C247" s="30">
        <f t="shared" si="25"/>
        <v>13.668000000000001</v>
      </c>
      <c r="D247" s="121">
        <v>5969.9</v>
      </c>
      <c r="E247" s="74">
        <f t="shared" si="21"/>
        <v>0.61066666666666636</v>
      </c>
      <c r="F247" s="74">
        <f t="shared" si="22"/>
        <v>1.1145833333333333</v>
      </c>
      <c r="G247" s="74">
        <f t="shared" si="23"/>
        <v>0.99161904761904751</v>
      </c>
      <c r="H247" s="74">
        <f t="shared" si="24"/>
        <v>0.87574404761904745</v>
      </c>
      <c r="I247" s="74"/>
      <c r="J247" s="74"/>
    </row>
    <row r="248" spans="1:13">
      <c r="A248" s="122">
        <v>13.5</v>
      </c>
      <c r="B248" s="71">
        <v>43980</v>
      </c>
      <c r="C248" s="30">
        <f t="shared" si="25"/>
        <v>12.267999999999999</v>
      </c>
      <c r="D248" s="121">
        <v>5972.3</v>
      </c>
      <c r="E248" s="74">
        <f t="shared" si="21"/>
        <v>1.0773333333333335</v>
      </c>
      <c r="F248" s="74">
        <f t="shared" si="22"/>
        <v>1.0700000000002432</v>
      </c>
      <c r="G248" s="74">
        <f t="shared" si="23"/>
        <v>0.97733333333333305</v>
      </c>
      <c r="H248" s="74">
        <f t="shared" si="24"/>
        <v>0.90886309523812303</v>
      </c>
      <c r="I248" s="74"/>
      <c r="J248" s="74"/>
      <c r="L248" s="74"/>
    </row>
    <row r="249" spans="1:13">
      <c r="A249" s="122">
        <v>13.100000000000001</v>
      </c>
      <c r="B249" s="71">
        <v>43981</v>
      </c>
      <c r="C249" s="30">
        <f t="shared" si="25"/>
        <v>13.368</v>
      </c>
      <c r="D249" s="126">
        <v>5974.6</v>
      </c>
      <c r="E249" s="74">
        <f t="shared" si="21"/>
        <v>0.71066666666666656</v>
      </c>
      <c r="F249" s="74">
        <f t="shared" si="22"/>
        <v>1.0254166666667477</v>
      </c>
      <c r="G249" s="74">
        <f t="shared" si="23"/>
        <v>0.77104761904761876</v>
      </c>
      <c r="H249" s="74">
        <f t="shared" si="24"/>
        <v>1.0094940476190708</v>
      </c>
      <c r="I249" s="74"/>
      <c r="J249" s="74"/>
      <c r="L249" s="74"/>
    </row>
    <row r="250" spans="1:13">
      <c r="A250" s="122">
        <v>12.100000000000001</v>
      </c>
      <c r="B250" s="71">
        <v>43982</v>
      </c>
      <c r="C250" s="30">
        <f t="shared" si="25"/>
        <v>12.968000000000002</v>
      </c>
      <c r="D250" s="121">
        <v>5977</v>
      </c>
      <c r="E250" s="74">
        <f t="shared" si="21"/>
        <v>0.84399999999999942</v>
      </c>
      <c r="F250" s="74">
        <f t="shared" si="22"/>
        <v>1.0699999999998377</v>
      </c>
      <c r="G250" s="74">
        <f t="shared" si="23"/>
        <v>0.6519999999999998</v>
      </c>
      <c r="H250" s="74">
        <f t="shared" si="24"/>
        <v>0.92223809523812528</v>
      </c>
      <c r="I250" s="74"/>
      <c r="J250" s="74"/>
      <c r="K250" s="74"/>
      <c r="M250" s="74"/>
    </row>
    <row r="251" spans="1:13">
      <c r="A251" s="122">
        <v>16</v>
      </c>
      <c r="B251" s="71">
        <v>43983</v>
      </c>
      <c r="C251" s="30">
        <f t="shared" si="25"/>
        <v>11.968000000000002</v>
      </c>
      <c r="D251" s="121">
        <v>5979.77</v>
      </c>
      <c r="E251" s="74">
        <f t="shared" si="21"/>
        <v>1.1773333333333327</v>
      </c>
      <c r="F251" s="74">
        <f t="shared" si="22"/>
        <v>1.2349583333335279</v>
      </c>
      <c r="G251" s="74">
        <f t="shared" si="23"/>
        <v>0.56476190476190458</v>
      </c>
      <c r="H251" s="74">
        <f t="shared" si="24"/>
        <v>0.8018630952381044</v>
      </c>
      <c r="I251" s="74"/>
      <c r="J251" s="74"/>
      <c r="K251" s="74" t="s">
        <v>378</v>
      </c>
    </row>
    <row r="252" spans="1:13">
      <c r="A252" s="122">
        <v>15.2</v>
      </c>
      <c r="B252" s="71">
        <v>43984</v>
      </c>
      <c r="C252" s="30">
        <f t="shared" si="25"/>
        <v>15.868</v>
      </c>
      <c r="D252" s="121">
        <v>5981.35</v>
      </c>
      <c r="E252" s="74">
        <f t="shared" si="21"/>
        <v>0</v>
      </c>
      <c r="F252" s="74">
        <f t="shared" si="22"/>
        <v>0.70441666666663416</v>
      </c>
      <c r="G252" s="74">
        <f t="shared" si="23"/>
        <v>0.41085714285714264</v>
      </c>
      <c r="H252" s="74">
        <f t="shared" si="24"/>
        <v>0.688494047619015</v>
      </c>
      <c r="I252" s="74"/>
      <c r="J252" s="74"/>
      <c r="K252" s="74"/>
    </row>
    <row r="253" spans="1:13">
      <c r="A253" s="122">
        <v>17.2</v>
      </c>
      <c r="B253" s="71">
        <v>43985</v>
      </c>
      <c r="C253" s="30">
        <f t="shared" si="25"/>
        <v>15.068</v>
      </c>
      <c r="D253" s="121">
        <v>5981.88</v>
      </c>
      <c r="E253" s="74">
        <f t="shared" si="21"/>
        <v>0.14400000000000013</v>
      </c>
      <c r="F253" s="74">
        <f t="shared" si="22"/>
        <v>0.2362916666665531</v>
      </c>
      <c r="G253" s="74">
        <f t="shared" si="23"/>
        <v>0.36323809523809503</v>
      </c>
      <c r="H253" s="74">
        <f t="shared" si="24"/>
        <v>0.57703571428568179</v>
      </c>
      <c r="I253" s="74"/>
      <c r="J253" s="74"/>
      <c r="K253" s="74"/>
    </row>
    <row r="254" spans="1:13">
      <c r="A254" s="122">
        <v>15.9</v>
      </c>
      <c r="B254" s="71">
        <v>43986</v>
      </c>
      <c r="C254" s="30">
        <f t="shared" si="25"/>
        <v>17.067999999999998</v>
      </c>
      <c r="D254" s="121">
        <v>5982.49</v>
      </c>
      <c r="E254" s="74">
        <f t="shared" si="21"/>
        <v>0</v>
      </c>
      <c r="F254" s="74">
        <f t="shared" si="22"/>
        <v>0.27195833333318736</v>
      </c>
      <c r="G254" s="74">
        <f t="shared" si="23"/>
        <v>0.32038095238095232</v>
      </c>
      <c r="H254" s="74">
        <f t="shared" si="24"/>
        <v>0.48404761904764226</v>
      </c>
      <c r="I254" s="74"/>
      <c r="J254" s="74"/>
      <c r="K254" s="74"/>
    </row>
    <row r="255" spans="1:13">
      <c r="A255" s="122">
        <v>14.5</v>
      </c>
      <c r="B255" s="71">
        <v>43987</v>
      </c>
      <c r="C255" s="30">
        <f t="shared" si="25"/>
        <v>15.768000000000001</v>
      </c>
      <c r="D255" s="121">
        <v>5983.11</v>
      </c>
      <c r="E255" s="74">
        <f t="shared" si="21"/>
        <v>0</v>
      </c>
      <c r="F255" s="74">
        <f t="shared" si="22"/>
        <v>0.27641666666661796</v>
      </c>
      <c r="G255" s="74">
        <f t="shared" si="23"/>
        <v>0.20133333333333334</v>
      </c>
      <c r="H255" s="74">
        <f t="shared" si="24"/>
        <v>0.37959523809518242</v>
      </c>
      <c r="I255" s="74"/>
      <c r="J255" s="74"/>
      <c r="K255" s="74"/>
      <c r="L255" s="121"/>
    </row>
    <row r="256" spans="1:13">
      <c r="A256" s="122">
        <v>14</v>
      </c>
      <c r="B256" s="71">
        <v>43988</v>
      </c>
      <c r="C256" s="30">
        <f t="shared" si="25"/>
        <v>14.368</v>
      </c>
      <c r="D256" s="121">
        <v>5983.66</v>
      </c>
      <c r="E256" s="74">
        <f t="shared" si="21"/>
        <v>0.37733333333333324</v>
      </c>
      <c r="F256" s="74">
        <f t="shared" si="22"/>
        <v>0.24520833333341441</v>
      </c>
      <c r="G256" s="74">
        <f t="shared" si="23"/>
        <v>0.27904761904761904</v>
      </c>
      <c r="H256" s="74">
        <f t="shared" si="24"/>
        <v>0.30698809523807663</v>
      </c>
      <c r="I256" s="74"/>
      <c r="J256" s="74"/>
      <c r="K256" s="74"/>
    </row>
    <row r="257" spans="1:11">
      <c r="A257" s="122">
        <v>14.6</v>
      </c>
      <c r="B257" s="71">
        <v>43989</v>
      </c>
      <c r="C257" s="30">
        <f t="shared" si="25"/>
        <v>13.868</v>
      </c>
      <c r="D257" s="121">
        <v>5984.6</v>
      </c>
      <c r="E257" s="74">
        <f t="shared" si="21"/>
        <v>0.54399999999999993</v>
      </c>
      <c r="F257" s="74">
        <f t="shared" si="22"/>
        <v>0.4190833333335604</v>
      </c>
      <c r="G257" s="74"/>
      <c r="H257" s="74"/>
      <c r="I257" s="74"/>
      <c r="J257" s="74"/>
      <c r="K257" s="74"/>
    </row>
    <row r="258" spans="1:11">
      <c r="A258" s="122">
        <v>14</v>
      </c>
      <c r="B258" s="71">
        <v>43990</v>
      </c>
      <c r="C258" s="30">
        <f t="shared" si="25"/>
        <v>14.468</v>
      </c>
      <c r="D258" s="121">
        <v>5985.73</v>
      </c>
      <c r="E258" s="74">
        <f t="shared" si="21"/>
        <v>0.34400000000000003</v>
      </c>
      <c r="F258" s="74">
        <f t="shared" si="22"/>
        <v>0.50379166666630981</v>
      </c>
      <c r="G258" s="74"/>
      <c r="H258" s="74"/>
      <c r="I258" s="74"/>
      <c r="J258" s="74"/>
      <c r="K258" s="74"/>
    </row>
    <row r="259" spans="1:11">
      <c r="A259" s="122">
        <v>15.1</v>
      </c>
      <c r="B259" s="71">
        <v>43991</v>
      </c>
      <c r="C259" s="30">
        <f t="shared" si="25"/>
        <v>13.868</v>
      </c>
      <c r="D259" s="121">
        <v>5986.17</v>
      </c>
      <c r="E259" s="74">
        <f t="shared" si="21"/>
        <v>0.54399999999999993</v>
      </c>
      <c r="F259" s="74">
        <f t="shared" si="22"/>
        <v>0.19616666666689372</v>
      </c>
      <c r="G259" s="74"/>
      <c r="H259" s="74"/>
      <c r="I259" s="74"/>
      <c r="J259" s="74"/>
      <c r="K259" s="74"/>
    </row>
    <row r="260" spans="1:11">
      <c r="A260" s="122">
        <v>14.5</v>
      </c>
      <c r="B260" s="71">
        <v>43992</v>
      </c>
      <c r="C260" s="30">
        <f t="shared" si="25"/>
        <v>14.968</v>
      </c>
      <c r="D260" s="121"/>
      <c r="E260" s="74">
        <f t="shared" si="21"/>
        <v>0.17733333333333334</v>
      </c>
      <c r="F260" s="74"/>
      <c r="G260" s="121"/>
      <c r="H260" s="121"/>
      <c r="I260" s="121"/>
      <c r="J260" s="121"/>
      <c r="K260" s="74"/>
    </row>
    <row r="261" spans="1:11">
      <c r="A261" s="122">
        <v>16.899999999999999</v>
      </c>
      <c r="B261" s="71">
        <v>43993</v>
      </c>
      <c r="C261" s="30">
        <f t="shared" si="25"/>
        <v>14.368</v>
      </c>
      <c r="D261" s="121"/>
      <c r="E261" s="74">
        <f t="shared" si="21"/>
        <v>0.37733333333333324</v>
      </c>
      <c r="F261" s="74"/>
      <c r="G261" s="121"/>
      <c r="H261" s="121"/>
      <c r="I261" s="121"/>
      <c r="J261" s="121"/>
      <c r="K261" s="74"/>
    </row>
    <row r="262" spans="1:11">
      <c r="A262" s="122">
        <v>19.399999999999999</v>
      </c>
      <c r="B262" s="71">
        <v>43994</v>
      </c>
      <c r="C262" s="30">
        <f t="shared" si="25"/>
        <v>16.767999999999997</v>
      </c>
      <c r="D262" s="121"/>
      <c r="E262" s="74">
        <f t="shared" ref="E262:E321" si="28">IF(C262&lt;E$3,(E$3-C262)*E$2/30,0)</f>
        <v>0</v>
      </c>
      <c r="F262" s="74"/>
      <c r="G262" s="121"/>
      <c r="H262" s="121"/>
      <c r="I262" s="121"/>
      <c r="J262" s="121"/>
      <c r="K262" s="125" t="s">
        <v>377</v>
      </c>
    </row>
    <row r="263" spans="1:11">
      <c r="A263" s="122">
        <v>21.6</v>
      </c>
      <c r="B263" s="71">
        <v>43995</v>
      </c>
      <c r="C263" s="30">
        <f t="shared" si="25"/>
        <v>19.267999999999997</v>
      </c>
      <c r="D263" s="121"/>
      <c r="E263" s="74">
        <f t="shared" si="28"/>
        <v>0</v>
      </c>
      <c r="F263" s="74"/>
      <c r="G263" s="121"/>
      <c r="H263" s="121"/>
      <c r="I263" s="121"/>
      <c r="J263" s="121"/>
      <c r="K263" s="123">
        <v>16.899999999999636</v>
      </c>
    </row>
    <row r="264" spans="1:11">
      <c r="A264" s="122">
        <v>18.5</v>
      </c>
      <c r="B264" s="71">
        <v>43996</v>
      </c>
      <c r="C264" s="30">
        <f t="shared" si="25"/>
        <v>21.468</v>
      </c>
      <c r="D264" s="121"/>
      <c r="E264" s="74">
        <f t="shared" si="28"/>
        <v>0</v>
      </c>
      <c r="F264" s="74"/>
      <c r="G264" s="121"/>
      <c r="H264" s="121"/>
      <c r="I264" s="121"/>
      <c r="J264" s="121"/>
      <c r="K264" s="74"/>
    </row>
    <row r="265" spans="1:11">
      <c r="A265" s="122">
        <v>19.399999999999999</v>
      </c>
      <c r="B265" s="71">
        <v>43997</v>
      </c>
      <c r="C265" s="30">
        <f t="shared" si="25"/>
        <v>18.367999999999999</v>
      </c>
      <c r="D265" s="121"/>
      <c r="E265" s="74">
        <f t="shared" si="28"/>
        <v>0</v>
      </c>
      <c r="F265" s="74"/>
      <c r="G265" s="121"/>
      <c r="H265" s="121"/>
      <c r="I265" s="121"/>
      <c r="J265" s="121"/>
      <c r="K265" s="74"/>
    </row>
    <row r="266" spans="1:11">
      <c r="A266" s="122">
        <v>19.399999999999999</v>
      </c>
      <c r="B266" s="71">
        <v>43998</v>
      </c>
      <c r="C266" s="30">
        <f t="shared" ref="C266:C329" si="29">A265+A$1</f>
        <v>19.267999999999997</v>
      </c>
      <c r="D266" s="121"/>
      <c r="E266" s="74">
        <f t="shared" si="28"/>
        <v>0</v>
      </c>
      <c r="F266" s="74"/>
      <c r="G266" s="121"/>
      <c r="H266" s="121"/>
      <c r="I266" s="121"/>
      <c r="J266" s="121"/>
      <c r="K266" s="74"/>
    </row>
    <row r="267" spans="1:11">
      <c r="A267" s="122">
        <v>20</v>
      </c>
      <c r="B267" s="71">
        <v>43999</v>
      </c>
      <c r="C267" s="30">
        <f t="shared" si="29"/>
        <v>19.267999999999997</v>
      </c>
      <c r="D267" s="121"/>
      <c r="E267" s="74">
        <f t="shared" si="28"/>
        <v>0</v>
      </c>
      <c r="F267" s="74"/>
      <c r="G267" s="121"/>
      <c r="H267" s="121"/>
      <c r="I267" s="121"/>
      <c r="J267" s="121"/>
      <c r="K267" s="74"/>
    </row>
    <row r="268" spans="1:11">
      <c r="A268" s="122">
        <v>18.3</v>
      </c>
      <c r="B268" s="71">
        <v>44000</v>
      </c>
      <c r="C268" s="30">
        <f t="shared" si="29"/>
        <v>19.867999999999999</v>
      </c>
      <c r="D268" s="121"/>
      <c r="E268" s="74">
        <f t="shared" si="28"/>
        <v>0</v>
      </c>
      <c r="F268" s="74"/>
      <c r="G268" s="121"/>
      <c r="H268" s="121"/>
      <c r="I268" s="121"/>
      <c r="J268" s="121"/>
      <c r="K268" s="74"/>
    </row>
    <row r="269" spans="1:11">
      <c r="A269" s="122">
        <v>15.8</v>
      </c>
      <c r="B269" s="71">
        <v>44001</v>
      </c>
      <c r="C269" s="30">
        <f t="shared" si="29"/>
        <v>18.167999999999999</v>
      </c>
      <c r="D269" s="121"/>
      <c r="E269" s="74">
        <f t="shared" si="28"/>
        <v>0</v>
      </c>
      <c r="F269" s="74"/>
      <c r="G269" s="121"/>
      <c r="H269" s="121"/>
      <c r="I269" s="121"/>
      <c r="J269" s="121"/>
      <c r="K269" s="74"/>
    </row>
    <row r="270" spans="1:11">
      <c r="A270" s="122">
        <v>15.4</v>
      </c>
      <c r="B270" s="71">
        <v>44002</v>
      </c>
      <c r="C270" s="30">
        <f t="shared" si="29"/>
        <v>15.668000000000001</v>
      </c>
      <c r="D270" s="121"/>
      <c r="E270" s="74">
        <f t="shared" si="28"/>
        <v>0</v>
      </c>
      <c r="F270" s="74"/>
      <c r="G270" s="121"/>
      <c r="H270" s="121"/>
      <c r="I270" s="121"/>
      <c r="J270" s="121"/>
      <c r="K270" s="74"/>
    </row>
    <row r="271" spans="1:11">
      <c r="A271" s="122">
        <v>17.100000000000001</v>
      </c>
      <c r="B271" s="71">
        <v>44003</v>
      </c>
      <c r="C271" s="30">
        <f t="shared" si="29"/>
        <v>15.268000000000001</v>
      </c>
      <c r="D271" s="121"/>
      <c r="E271" s="74">
        <f t="shared" si="28"/>
        <v>7.7333333333333101E-2</v>
      </c>
      <c r="F271" s="74"/>
      <c r="G271" s="121"/>
      <c r="H271" s="121"/>
      <c r="I271" s="121"/>
      <c r="J271" s="121"/>
      <c r="K271" s="74"/>
    </row>
    <row r="272" spans="1:11">
      <c r="A272" s="122">
        <v>20.6</v>
      </c>
      <c r="B272" s="71">
        <v>44004</v>
      </c>
      <c r="C272" s="30">
        <f t="shared" si="29"/>
        <v>16.968</v>
      </c>
      <c r="D272" s="121"/>
      <c r="E272" s="74">
        <f t="shared" si="28"/>
        <v>0</v>
      </c>
      <c r="F272" s="74"/>
      <c r="G272" s="121"/>
      <c r="H272" s="121"/>
      <c r="I272" s="121"/>
      <c r="J272" s="121"/>
      <c r="K272" s="74"/>
    </row>
    <row r="273" spans="1:12">
      <c r="A273" s="122">
        <v>19.100000000000001</v>
      </c>
      <c r="B273" s="71">
        <v>44005</v>
      </c>
      <c r="C273" s="30">
        <f t="shared" si="29"/>
        <v>20.468</v>
      </c>
      <c r="D273" s="121"/>
      <c r="E273" s="74">
        <f t="shared" si="28"/>
        <v>0</v>
      </c>
      <c r="F273" s="74"/>
      <c r="G273" s="121"/>
      <c r="H273" s="121"/>
      <c r="I273" s="121"/>
      <c r="J273" s="121"/>
      <c r="K273" s="74"/>
      <c r="L273" s="74"/>
    </row>
    <row r="274" spans="1:12">
      <c r="A274" s="122">
        <v>15.3</v>
      </c>
      <c r="B274" s="71">
        <v>44006</v>
      </c>
      <c r="C274" s="30">
        <f t="shared" si="29"/>
        <v>18.968</v>
      </c>
      <c r="D274" s="121"/>
      <c r="E274" s="74">
        <f t="shared" si="28"/>
        <v>0</v>
      </c>
      <c r="F274" s="74"/>
      <c r="G274" s="121"/>
      <c r="H274" s="121"/>
      <c r="I274" s="121"/>
      <c r="J274" s="121"/>
      <c r="K274" s="74"/>
    </row>
    <row r="275" spans="1:12">
      <c r="A275" s="122">
        <v>18.600000000000001</v>
      </c>
      <c r="B275" s="71">
        <v>44007</v>
      </c>
      <c r="C275" s="30">
        <f t="shared" si="29"/>
        <v>15.168000000000001</v>
      </c>
      <c r="D275" s="121"/>
      <c r="E275" s="74">
        <f t="shared" si="28"/>
        <v>0.11066666666666632</v>
      </c>
      <c r="F275" s="74"/>
      <c r="G275" s="121"/>
      <c r="H275" s="121"/>
      <c r="I275" s="121"/>
      <c r="J275" s="121"/>
      <c r="K275" s="74"/>
    </row>
    <row r="276" spans="1:12">
      <c r="A276" s="122">
        <v>18.600000000000001</v>
      </c>
      <c r="B276" s="71">
        <v>44008</v>
      </c>
      <c r="C276" s="30">
        <f t="shared" si="29"/>
        <v>18.468</v>
      </c>
      <c r="D276" s="121"/>
      <c r="E276" s="74">
        <f t="shared" si="28"/>
        <v>0</v>
      </c>
      <c r="F276" s="74"/>
      <c r="G276" s="121"/>
      <c r="H276" s="121"/>
      <c r="I276" s="121"/>
      <c r="J276" s="121"/>
      <c r="K276" s="74"/>
    </row>
    <row r="277" spans="1:12">
      <c r="A277" s="122">
        <v>21.9</v>
      </c>
      <c r="B277" s="71">
        <v>44009</v>
      </c>
      <c r="C277" s="30">
        <f t="shared" si="29"/>
        <v>18.468</v>
      </c>
      <c r="D277" s="121"/>
      <c r="E277" s="74">
        <f t="shared" si="28"/>
        <v>0</v>
      </c>
      <c r="F277" s="74"/>
      <c r="G277" s="121"/>
      <c r="H277" s="121"/>
      <c r="I277" s="121"/>
      <c r="J277" s="121"/>
      <c r="K277" s="74"/>
    </row>
    <row r="278" spans="1:12">
      <c r="A278" s="122">
        <v>23.4</v>
      </c>
      <c r="B278" s="71">
        <v>44010</v>
      </c>
      <c r="C278" s="30">
        <f t="shared" si="29"/>
        <v>21.767999999999997</v>
      </c>
      <c r="D278" s="121"/>
      <c r="E278" s="74">
        <f t="shared" si="28"/>
        <v>0</v>
      </c>
      <c r="F278" s="74"/>
      <c r="G278" s="121"/>
      <c r="H278" s="121"/>
      <c r="I278" s="121"/>
      <c r="J278" s="121"/>
      <c r="K278" s="74"/>
    </row>
    <row r="279" spans="1:12">
      <c r="A279" s="122">
        <v>18.600000000000001</v>
      </c>
      <c r="B279" s="71">
        <v>44011</v>
      </c>
      <c r="C279" s="30">
        <f t="shared" si="29"/>
        <v>23.267999999999997</v>
      </c>
      <c r="D279" s="121"/>
      <c r="E279" s="74">
        <f t="shared" si="28"/>
        <v>0</v>
      </c>
      <c r="F279" s="74"/>
      <c r="G279" s="121"/>
      <c r="H279" s="121"/>
      <c r="I279" s="121"/>
      <c r="J279" s="121"/>
      <c r="K279" s="74"/>
    </row>
    <row r="280" spans="1:12">
      <c r="A280" s="122">
        <v>19.2</v>
      </c>
      <c r="B280" s="71">
        <v>44012</v>
      </c>
      <c r="C280" s="30">
        <f t="shared" si="29"/>
        <v>18.468</v>
      </c>
      <c r="D280" s="126">
        <v>5996.67</v>
      </c>
      <c r="E280" s="74">
        <f t="shared" si="28"/>
        <v>0</v>
      </c>
      <c r="F280" s="74">
        <f>(D280-D259)/(B280-B259)*10.7/24</f>
        <v>0.22291666666666665</v>
      </c>
      <c r="G280" s="121"/>
      <c r="H280" s="121"/>
      <c r="I280" s="121"/>
      <c r="J280" s="121"/>
      <c r="K280" s="74"/>
    </row>
    <row r="281" spans="1:12">
      <c r="A281" s="122">
        <v>22.5</v>
      </c>
      <c r="B281" s="71">
        <v>44013</v>
      </c>
      <c r="C281" s="30">
        <f t="shared" si="29"/>
        <v>19.067999999999998</v>
      </c>
      <c r="D281" s="71"/>
      <c r="E281" s="74">
        <f t="shared" si="28"/>
        <v>0</v>
      </c>
      <c r="F281" s="74"/>
      <c r="G281" s="71"/>
      <c r="H281" s="71"/>
      <c r="I281" s="71"/>
      <c r="J281" s="71"/>
      <c r="K281" s="71"/>
      <c r="L281" s="71"/>
    </row>
    <row r="282" spans="1:12">
      <c r="A282" s="122">
        <v>20.8</v>
      </c>
      <c r="B282" s="71">
        <v>44014</v>
      </c>
      <c r="C282" s="30">
        <f t="shared" si="29"/>
        <v>22.367999999999999</v>
      </c>
      <c r="D282" s="124"/>
      <c r="E282" s="74">
        <f t="shared" si="28"/>
        <v>0</v>
      </c>
      <c r="F282" s="74"/>
      <c r="G282" s="124"/>
      <c r="H282" s="124"/>
      <c r="I282" s="124"/>
      <c r="J282" s="124"/>
      <c r="K282" s="124"/>
      <c r="L282" s="74"/>
    </row>
    <row r="283" spans="1:12">
      <c r="A283" s="122">
        <v>19.2</v>
      </c>
      <c r="B283" s="71">
        <v>44015</v>
      </c>
      <c r="C283" s="30">
        <f t="shared" si="29"/>
        <v>20.667999999999999</v>
      </c>
      <c r="D283" s="124"/>
      <c r="E283" s="74">
        <f t="shared" si="28"/>
        <v>0</v>
      </c>
      <c r="F283" s="74"/>
      <c r="G283" s="124"/>
      <c r="H283" s="124"/>
      <c r="I283" s="124"/>
      <c r="J283" s="124"/>
      <c r="K283" s="124"/>
      <c r="L283" s="74"/>
    </row>
    <row r="284" spans="1:12">
      <c r="A284" s="122">
        <v>19.7</v>
      </c>
      <c r="B284" s="71">
        <v>44016</v>
      </c>
      <c r="C284" s="30">
        <f t="shared" si="29"/>
        <v>19.067999999999998</v>
      </c>
      <c r="D284" s="124"/>
      <c r="E284" s="74">
        <f t="shared" si="28"/>
        <v>0</v>
      </c>
      <c r="F284" s="74"/>
      <c r="G284" s="124"/>
      <c r="H284" s="124"/>
      <c r="I284" s="124"/>
      <c r="J284" s="124"/>
      <c r="K284" s="124"/>
      <c r="L284" s="74"/>
    </row>
    <row r="285" spans="1:12">
      <c r="A285" s="122">
        <v>22.4</v>
      </c>
      <c r="B285" s="71">
        <v>44017</v>
      </c>
      <c r="C285" s="30">
        <f t="shared" si="29"/>
        <v>19.567999999999998</v>
      </c>
      <c r="D285" s="124"/>
      <c r="E285" s="74">
        <f t="shared" si="28"/>
        <v>0</v>
      </c>
      <c r="F285" s="74"/>
      <c r="G285" s="124"/>
      <c r="H285" s="124"/>
      <c r="I285" s="124"/>
      <c r="J285" s="124"/>
      <c r="K285" s="124"/>
      <c r="L285" s="74"/>
    </row>
    <row r="286" spans="1:12">
      <c r="A286" s="122">
        <v>20</v>
      </c>
      <c r="B286" s="71">
        <v>44018</v>
      </c>
      <c r="C286" s="30">
        <f t="shared" si="29"/>
        <v>22.267999999999997</v>
      </c>
      <c r="D286" s="124"/>
      <c r="E286" s="74">
        <f t="shared" si="28"/>
        <v>0</v>
      </c>
      <c r="F286" s="74"/>
      <c r="G286" s="124"/>
      <c r="H286" s="124"/>
      <c r="I286" s="124"/>
      <c r="J286" s="124"/>
      <c r="K286" s="124"/>
      <c r="L286" s="74"/>
    </row>
    <row r="287" spans="1:12">
      <c r="A287" s="122">
        <v>15.3</v>
      </c>
      <c r="B287" s="71">
        <v>44019</v>
      </c>
      <c r="C287" s="30">
        <f t="shared" si="29"/>
        <v>19.867999999999999</v>
      </c>
      <c r="D287" s="124"/>
      <c r="E287" s="74">
        <f t="shared" si="28"/>
        <v>0</v>
      </c>
      <c r="F287" s="74"/>
      <c r="G287" s="124"/>
      <c r="H287" s="124"/>
      <c r="I287" s="124"/>
      <c r="J287" s="124"/>
      <c r="K287" s="124"/>
      <c r="L287" s="74"/>
    </row>
    <row r="288" spans="1:12">
      <c r="A288" s="122">
        <v>14.8</v>
      </c>
      <c r="B288" s="71">
        <v>44020</v>
      </c>
      <c r="C288" s="30">
        <f t="shared" si="29"/>
        <v>15.168000000000001</v>
      </c>
      <c r="D288" s="124"/>
      <c r="E288" s="74">
        <f t="shared" si="28"/>
        <v>0.11066666666666632</v>
      </c>
      <c r="F288" s="74"/>
      <c r="G288" s="124"/>
      <c r="H288" s="124"/>
      <c r="I288" s="124"/>
      <c r="J288" s="124"/>
      <c r="K288" s="124"/>
      <c r="L288" s="74"/>
    </row>
    <row r="289" spans="1:12">
      <c r="A289" s="122">
        <v>18.2</v>
      </c>
      <c r="B289" s="71">
        <v>44021</v>
      </c>
      <c r="C289" s="30">
        <f t="shared" si="29"/>
        <v>14.668000000000001</v>
      </c>
      <c r="D289" s="124"/>
      <c r="E289" s="74">
        <f t="shared" si="28"/>
        <v>0.27733333333333299</v>
      </c>
      <c r="F289" s="74"/>
      <c r="G289" s="124"/>
      <c r="H289" s="124"/>
      <c r="I289" s="124"/>
      <c r="J289" s="124"/>
      <c r="K289" s="124"/>
      <c r="L289" s="74"/>
    </row>
    <row r="290" spans="1:12">
      <c r="A290" s="122">
        <v>24</v>
      </c>
      <c r="B290" s="71">
        <v>44022</v>
      </c>
      <c r="C290" s="30">
        <f t="shared" si="29"/>
        <v>18.067999999999998</v>
      </c>
      <c r="D290" s="124"/>
      <c r="E290" s="74">
        <f t="shared" si="28"/>
        <v>0</v>
      </c>
      <c r="F290" s="74"/>
      <c r="G290" s="124"/>
      <c r="H290" s="124"/>
      <c r="I290" s="124"/>
      <c r="J290" s="124"/>
      <c r="K290" s="124"/>
      <c r="L290" s="74"/>
    </row>
    <row r="291" spans="1:12">
      <c r="A291" s="122">
        <v>15.5</v>
      </c>
      <c r="B291" s="71">
        <v>44023</v>
      </c>
      <c r="C291" s="30">
        <f t="shared" si="29"/>
        <v>23.867999999999999</v>
      </c>
      <c r="D291" s="124"/>
      <c r="E291" s="74">
        <f t="shared" si="28"/>
        <v>0</v>
      </c>
      <c r="F291" s="74"/>
      <c r="G291" s="124"/>
      <c r="H291" s="124"/>
      <c r="I291" s="124"/>
      <c r="J291" s="124"/>
      <c r="K291" s="124"/>
      <c r="L291" s="74"/>
    </row>
    <row r="292" spans="1:12">
      <c r="A292" s="122">
        <v>15.4</v>
      </c>
      <c r="B292" s="71">
        <v>44024</v>
      </c>
      <c r="C292" s="30">
        <f t="shared" si="29"/>
        <v>15.368</v>
      </c>
      <c r="D292" s="124"/>
      <c r="E292" s="74">
        <f t="shared" si="28"/>
        <v>4.3999999999999893E-2</v>
      </c>
      <c r="F292" s="74"/>
      <c r="G292" s="125"/>
      <c r="H292" s="125" t="s">
        <v>377</v>
      </c>
      <c r="I292" s="125"/>
      <c r="J292" s="125"/>
      <c r="K292" s="125"/>
      <c r="L292" s="74"/>
    </row>
    <row r="293" spans="1:12">
      <c r="A293" s="122">
        <v>16.3</v>
      </c>
      <c r="B293" s="71">
        <v>44025</v>
      </c>
      <c r="C293" s="30">
        <f t="shared" si="29"/>
        <v>15.268000000000001</v>
      </c>
      <c r="D293" s="124"/>
      <c r="E293" s="74">
        <f t="shared" si="28"/>
        <v>7.7333333333333101E-2</v>
      </c>
      <c r="F293" s="74"/>
      <c r="G293" s="123"/>
      <c r="H293" s="123">
        <v>17.489999999999782</v>
      </c>
      <c r="I293" s="123"/>
      <c r="J293" s="123"/>
      <c r="K293" s="123"/>
      <c r="L293" s="74"/>
    </row>
    <row r="294" spans="1:12">
      <c r="A294" s="122">
        <v>18.2</v>
      </c>
      <c r="B294" s="71">
        <v>44026</v>
      </c>
      <c r="C294" s="30">
        <f t="shared" si="29"/>
        <v>16.167999999999999</v>
      </c>
      <c r="D294" s="124">
        <v>6003.8</v>
      </c>
      <c r="E294" s="74">
        <f t="shared" si="28"/>
        <v>0</v>
      </c>
      <c r="F294" s="74">
        <f>(D294-D280)/(B294-B280)*10.7/24</f>
        <v>0.22705654761905111</v>
      </c>
      <c r="G294" s="124"/>
      <c r="H294" s="124"/>
      <c r="I294" s="124"/>
      <c r="J294" s="124"/>
      <c r="K294" s="124"/>
      <c r="L294" s="74"/>
    </row>
    <row r="295" spans="1:12">
      <c r="A295" s="122">
        <v>18.2</v>
      </c>
      <c r="B295" s="71">
        <v>44027</v>
      </c>
      <c r="C295" s="30">
        <f t="shared" si="29"/>
        <v>18.067999999999998</v>
      </c>
      <c r="D295" s="124"/>
      <c r="E295" s="74">
        <f t="shared" si="28"/>
        <v>0</v>
      </c>
      <c r="F295" s="74"/>
      <c r="G295" s="124"/>
      <c r="H295" s="124"/>
      <c r="I295" s="124"/>
      <c r="J295" s="124"/>
      <c r="K295" s="124"/>
      <c r="L295" s="74"/>
    </row>
    <row r="296" spans="1:12">
      <c r="A296" s="122">
        <v>15.2</v>
      </c>
      <c r="B296" s="71">
        <v>44028</v>
      </c>
      <c r="C296" s="30">
        <f t="shared" si="29"/>
        <v>18.067999999999998</v>
      </c>
      <c r="D296" s="124"/>
      <c r="E296" s="74">
        <f t="shared" si="28"/>
        <v>0</v>
      </c>
      <c r="F296" s="74"/>
      <c r="G296" s="124"/>
      <c r="H296" s="124"/>
      <c r="I296" s="124"/>
      <c r="J296" s="124"/>
      <c r="K296" s="124"/>
      <c r="L296" s="74"/>
    </row>
    <row r="297" spans="1:12">
      <c r="A297" s="122">
        <v>15.7</v>
      </c>
      <c r="B297" s="71">
        <v>44029</v>
      </c>
      <c r="C297" s="30">
        <f t="shared" si="29"/>
        <v>15.068</v>
      </c>
      <c r="D297" s="124"/>
      <c r="E297" s="74">
        <f t="shared" si="28"/>
        <v>0.14400000000000013</v>
      </c>
      <c r="F297" s="74"/>
      <c r="G297" s="124"/>
      <c r="H297" s="124"/>
      <c r="I297" s="124"/>
      <c r="J297" s="124"/>
      <c r="K297" s="124"/>
      <c r="L297" s="74"/>
    </row>
    <row r="298" spans="1:12">
      <c r="A298" s="122">
        <v>17.5</v>
      </c>
      <c r="B298" s="71">
        <v>44030</v>
      </c>
      <c r="C298" s="30">
        <f t="shared" si="29"/>
        <v>15.568</v>
      </c>
      <c r="D298" s="124">
        <v>6006.36</v>
      </c>
      <c r="E298" s="74">
        <f t="shared" si="28"/>
        <v>0</v>
      </c>
      <c r="F298" s="74">
        <f>(D298-D294)/(B298-B294)*10.7/24</f>
        <v>0.28533333333327654</v>
      </c>
      <c r="G298" s="124"/>
      <c r="H298" s="124">
        <v>0.61999999999989086</v>
      </c>
      <c r="I298" s="124"/>
      <c r="J298" s="124"/>
      <c r="K298" s="124"/>
      <c r="L298" s="74"/>
    </row>
    <row r="299" spans="1:12">
      <c r="A299" s="122">
        <v>20.7</v>
      </c>
      <c r="B299" s="71">
        <v>44031</v>
      </c>
      <c r="C299" s="30">
        <f t="shared" si="29"/>
        <v>17.367999999999999</v>
      </c>
      <c r="D299" s="124">
        <v>6006.98</v>
      </c>
      <c r="E299" s="74">
        <f t="shared" si="28"/>
        <v>0</v>
      </c>
      <c r="F299" s="74">
        <f>(D299-D298)/(B299-B298)*10.7/24</f>
        <v>0.27641666666661796</v>
      </c>
      <c r="G299" s="124"/>
      <c r="H299" s="124">
        <v>1.0700000000006185</v>
      </c>
      <c r="I299" s="124"/>
      <c r="J299" s="124"/>
      <c r="K299" s="124"/>
      <c r="L299" s="74"/>
    </row>
    <row r="300" spans="1:12">
      <c r="A300" s="122">
        <v>22</v>
      </c>
      <c r="B300" s="71">
        <v>44032</v>
      </c>
      <c r="C300" s="30">
        <f t="shared" si="29"/>
        <v>20.567999999999998</v>
      </c>
      <c r="D300" s="124">
        <v>6008.05</v>
      </c>
      <c r="E300" s="74">
        <f t="shared" si="28"/>
        <v>0</v>
      </c>
      <c r="F300" s="74">
        <f>(D300-D299)/(B300-B299)*10.7/24</f>
        <v>0.47704166666694237</v>
      </c>
      <c r="G300" s="124"/>
      <c r="H300" s="124"/>
      <c r="I300" s="124"/>
      <c r="J300" s="124"/>
      <c r="K300" s="124"/>
      <c r="L300" s="74"/>
    </row>
    <row r="301" spans="1:12">
      <c r="A301" s="122">
        <v>19.899999999999999</v>
      </c>
      <c r="B301" s="71">
        <v>44033</v>
      </c>
      <c r="C301" s="30">
        <f t="shared" si="29"/>
        <v>21.867999999999999</v>
      </c>
      <c r="D301" s="124"/>
      <c r="E301" s="74">
        <f t="shared" si="28"/>
        <v>0</v>
      </c>
      <c r="F301" s="74"/>
      <c r="G301" s="124"/>
      <c r="H301" s="124"/>
      <c r="I301" s="124"/>
      <c r="J301" s="124"/>
      <c r="K301" s="124"/>
      <c r="L301" s="74"/>
    </row>
    <row r="302" spans="1:12">
      <c r="A302" s="122">
        <v>18.600000000000001</v>
      </c>
      <c r="B302" s="71">
        <v>44034</v>
      </c>
      <c r="C302" s="30">
        <f t="shared" si="29"/>
        <v>19.767999999999997</v>
      </c>
      <c r="D302" s="124"/>
      <c r="E302" s="74">
        <f t="shared" si="28"/>
        <v>0</v>
      </c>
      <c r="F302" s="74"/>
      <c r="G302" s="124"/>
      <c r="H302" s="124"/>
      <c r="I302" s="124"/>
      <c r="J302" s="124"/>
      <c r="K302" s="124"/>
      <c r="L302" s="74"/>
    </row>
    <row r="303" spans="1:12">
      <c r="A303" s="122">
        <v>18.600000000000001</v>
      </c>
      <c r="B303" s="71">
        <v>44035</v>
      </c>
      <c r="C303" s="30">
        <f t="shared" si="29"/>
        <v>18.468</v>
      </c>
      <c r="D303" s="124"/>
      <c r="E303" s="74">
        <f t="shared" si="28"/>
        <v>0</v>
      </c>
      <c r="F303" s="74"/>
      <c r="G303" s="124"/>
      <c r="H303" s="124"/>
      <c r="I303" s="124"/>
      <c r="J303" s="124"/>
      <c r="K303" s="124"/>
      <c r="L303" s="74"/>
    </row>
    <row r="304" spans="1:12">
      <c r="A304" s="122">
        <v>20.3</v>
      </c>
      <c r="B304" s="71">
        <v>44036</v>
      </c>
      <c r="C304" s="30">
        <f t="shared" si="29"/>
        <v>18.468</v>
      </c>
      <c r="D304" s="124"/>
      <c r="E304" s="74">
        <f t="shared" si="28"/>
        <v>0</v>
      </c>
      <c r="F304" s="74"/>
      <c r="G304" s="124"/>
      <c r="H304" s="124"/>
      <c r="I304" s="124"/>
      <c r="J304" s="124"/>
      <c r="K304" s="124"/>
      <c r="L304" s="74"/>
    </row>
    <row r="305" spans="1:12">
      <c r="A305" s="122">
        <v>22</v>
      </c>
      <c r="B305" s="71">
        <v>44037</v>
      </c>
      <c r="C305" s="30">
        <f t="shared" si="29"/>
        <v>20.167999999999999</v>
      </c>
      <c r="D305" s="124"/>
      <c r="E305" s="74">
        <f t="shared" si="28"/>
        <v>0</v>
      </c>
      <c r="F305" s="74"/>
      <c r="G305" s="124"/>
      <c r="H305" s="124"/>
      <c r="I305" s="124"/>
      <c r="J305" s="124"/>
      <c r="K305" s="124"/>
      <c r="L305" s="74"/>
    </row>
    <row r="306" spans="1:12">
      <c r="A306" s="122">
        <v>19.899999999999999</v>
      </c>
      <c r="B306" s="71">
        <v>44038</v>
      </c>
      <c r="C306" s="30">
        <f t="shared" si="29"/>
        <v>21.867999999999999</v>
      </c>
      <c r="D306" s="124"/>
      <c r="E306" s="74">
        <f t="shared" si="28"/>
        <v>0</v>
      </c>
      <c r="F306" s="74"/>
      <c r="G306" s="124"/>
      <c r="H306" s="124"/>
      <c r="I306" s="124"/>
      <c r="J306" s="124"/>
      <c r="K306" s="124"/>
      <c r="L306" s="74"/>
    </row>
    <row r="307" spans="1:12">
      <c r="A307" s="122">
        <v>21.3</v>
      </c>
      <c r="B307" s="71">
        <v>44039</v>
      </c>
      <c r="C307" s="30">
        <f t="shared" si="29"/>
        <v>19.767999999999997</v>
      </c>
      <c r="D307" s="124"/>
      <c r="E307" s="74">
        <f t="shared" si="28"/>
        <v>0</v>
      </c>
      <c r="F307" s="74"/>
      <c r="G307" s="124"/>
      <c r="H307" s="124"/>
      <c r="I307" s="124"/>
      <c r="J307" s="124"/>
      <c r="K307" s="124"/>
      <c r="L307" s="74"/>
    </row>
    <row r="308" spans="1:12">
      <c r="A308" s="122">
        <v>24.6</v>
      </c>
      <c r="B308" s="71">
        <v>44040</v>
      </c>
      <c r="C308" s="30">
        <f t="shared" si="29"/>
        <v>21.167999999999999</v>
      </c>
      <c r="D308" s="124"/>
      <c r="E308" s="74">
        <f t="shared" si="28"/>
        <v>0</v>
      </c>
      <c r="F308" s="74"/>
      <c r="G308" s="124"/>
      <c r="H308" s="124"/>
      <c r="I308" s="124"/>
      <c r="J308" s="124"/>
      <c r="K308" s="124"/>
      <c r="L308" s="74"/>
    </row>
    <row r="309" spans="1:12">
      <c r="A309" s="122">
        <v>22.4</v>
      </c>
      <c r="B309" s="71">
        <v>44041</v>
      </c>
      <c r="C309" s="30">
        <f t="shared" si="29"/>
        <v>24.468</v>
      </c>
      <c r="D309" s="124"/>
      <c r="E309" s="74">
        <f t="shared" si="28"/>
        <v>0</v>
      </c>
      <c r="F309" s="74"/>
      <c r="G309" s="124"/>
      <c r="H309" s="124"/>
      <c r="I309" s="124"/>
      <c r="J309" s="124"/>
      <c r="K309" s="124"/>
      <c r="L309" s="74"/>
    </row>
    <row r="310" spans="1:12">
      <c r="A310" s="122">
        <v>20.9</v>
      </c>
      <c r="B310" s="71">
        <v>44042</v>
      </c>
      <c r="C310" s="30">
        <f t="shared" si="29"/>
        <v>22.267999999999997</v>
      </c>
      <c r="D310" s="124"/>
      <c r="E310" s="74">
        <f t="shared" si="28"/>
        <v>0</v>
      </c>
      <c r="F310" s="74"/>
      <c r="G310" s="124"/>
      <c r="H310" s="124"/>
      <c r="I310" s="124"/>
      <c r="J310" s="124"/>
      <c r="K310" s="124"/>
      <c r="L310" s="74"/>
    </row>
    <row r="311" spans="1:12">
      <c r="A311" s="122">
        <v>22</v>
      </c>
      <c r="B311" s="71">
        <v>44043</v>
      </c>
      <c r="C311" s="30">
        <f t="shared" si="29"/>
        <v>20.767999999999997</v>
      </c>
      <c r="D311" s="124">
        <v>6014.16</v>
      </c>
      <c r="E311" s="74">
        <f t="shared" si="28"/>
        <v>0</v>
      </c>
      <c r="F311" s="74">
        <f>(D311-D300)/(B311-B300)*10.7/24</f>
        <v>0.24764015151513821</v>
      </c>
      <c r="G311" s="124"/>
      <c r="H311" s="124"/>
      <c r="I311" s="124"/>
      <c r="J311" s="124"/>
      <c r="K311" s="124"/>
      <c r="L311" s="74"/>
    </row>
    <row r="312" spans="1:12">
      <c r="A312" s="122">
        <v>22.6</v>
      </c>
      <c r="B312" s="71">
        <v>44044</v>
      </c>
      <c r="C312" s="30">
        <f t="shared" si="29"/>
        <v>21.867999999999999</v>
      </c>
      <c r="D312" s="117">
        <v>6014.66</v>
      </c>
      <c r="E312" s="74">
        <f t="shared" si="28"/>
        <v>0</v>
      </c>
      <c r="F312" s="74">
        <f>(D312-D311)/(B312-B311)*10.7/24</f>
        <v>0.22291666666666665</v>
      </c>
      <c r="L312" s="74"/>
    </row>
    <row r="313" spans="1:12">
      <c r="A313" s="122">
        <v>19.5</v>
      </c>
      <c r="B313" s="71">
        <v>44045</v>
      </c>
      <c r="C313" s="30">
        <f t="shared" si="29"/>
        <v>22.468</v>
      </c>
      <c r="E313" s="74">
        <f t="shared" si="28"/>
        <v>0</v>
      </c>
      <c r="F313" s="74"/>
      <c r="L313" s="74"/>
    </row>
    <row r="314" spans="1:12">
      <c r="A314" s="122">
        <v>16.600000000000001</v>
      </c>
      <c r="B314" s="71">
        <v>44046</v>
      </c>
      <c r="C314" s="30">
        <f t="shared" si="29"/>
        <v>19.367999999999999</v>
      </c>
      <c r="E314" s="74">
        <f t="shared" si="28"/>
        <v>0</v>
      </c>
      <c r="F314" s="74"/>
      <c r="L314" s="74"/>
    </row>
    <row r="315" spans="1:12">
      <c r="A315" s="122">
        <v>15.1</v>
      </c>
      <c r="B315" s="71">
        <v>44047</v>
      </c>
      <c r="C315" s="30">
        <f t="shared" si="29"/>
        <v>16.468</v>
      </c>
      <c r="E315" s="74">
        <f t="shared" si="28"/>
        <v>0</v>
      </c>
      <c r="F315" s="74"/>
      <c r="L315" s="74"/>
    </row>
    <row r="316" spans="1:12">
      <c r="A316" s="122">
        <v>17.7</v>
      </c>
      <c r="B316" s="71">
        <v>44048</v>
      </c>
      <c r="C316" s="30">
        <f t="shared" si="29"/>
        <v>14.968</v>
      </c>
      <c r="E316" s="74">
        <f t="shared" si="28"/>
        <v>0.17733333333333334</v>
      </c>
      <c r="F316" s="74"/>
      <c r="L316" s="74"/>
    </row>
    <row r="317" spans="1:12">
      <c r="A317" s="122">
        <v>20.3</v>
      </c>
      <c r="B317" s="71">
        <v>44049</v>
      </c>
      <c r="C317" s="30">
        <f t="shared" si="29"/>
        <v>17.567999999999998</v>
      </c>
      <c r="E317" s="74">
        <f t="shared" si="28"/>
        <v>0</v>
      </c>
      <c r="F317" s="74"/>
      <c r="L317" s="74"/>
    </row>
    <row r="318" spans="1:12">
      <c r="A318" s="122">
        <v>23.2</v>
      </c>
      <c r="B318" s="71">
        <v>44050</v>
      </c>
      <c r="C318" s="30">
        <f t="shared" si="29"/>
        <v>20.167999999999999</v>
      </c>
      <c r="E318" s="74">
        <f t="shared" si="28"/>
        <v>0</v>
      </c>
      <c r="F318" s="74"/>
      <c r="L318" s="74"/>
    </row>
    <row r="319" spans="1:12">
      <c r="A319" s="122">
        <v>24.4</v>
      </c>
      <c r="B319" s="71">
        <v>44051</v>
      </c>
      <c r="C319" s="30">
        <f t="shared" si="29"/>
        <v>23.067999999999998</v>
      </c>
      <c r="E319" s="74">
        <f t="shared" si="28"/>
        <v>0</v>
      </c>
      <c r="F319" s="74"/>
      <c r="L319" s="74"/>
    </row>
    <row r="320" spans="1:12">
      <c r="A320" s="122">
        <v>24.8</v>
      </c>
      <c r="B320" s="71">
        <v>44052</v>
      </c>
      <c r="C320" s="30">
        <f t="shared" si="29"/>
        <v>24.267999999999997</v>
      </c>
      <c r="E320" s="74">
        <f t="shared" si="28"/>
        <v>0</v>
      </c>
      <c r="F320" s="74"/>
      <c r="L320" s="74"/>
    </row>
    <row r="321" spans="1:12">
      <c r="A321" s="122">
        <v>22.7</v>
      </c>
      <c r="B321" s="71">
        <v>44053</v>
      </c>
      <c r="C321" s="30">
        <f t="shared" si="29"/>
        <v>24.667999999999999</v>
      </c>
      <c r="E321" s="74">
        <f t="shared" si="28"/>
        <v>0</v>
      </c>
      <c r="F321" s="74"/>
      <c r="L321" s="74"/>
    </row>
    <row r="322" spans="1:12">
      <c r="A322" s="122">
        <v>22.9</v>
      </c>
      <c r="B322" s="71">
        <v>44054</v>
      </c>
      <c r="C322" s="30">
        <f t="shared" si="29"/>
        <v>22.567999999999998</v>
      </c>
      <c r="L322" s="74"/>
    </row>
    <row r="323" spans="1:12">
      <c r="A323" s="122">
        <v>23.8</v>
      </c>
      <c r="B323" s="71">
        <v>44055</v>
      </c>
      <c r="C323" s="30">
        <f t="shared" si="29"/>
        <v>22.767999999999997</v>
      </c>
      <c r="E323" s="125" t="s">
        <v>377</v>
      </c>
      <c r="F323" s="125"/>
      <c r="G323" s="125"/>
      <c r="H323" s="125"/>
      <c r="I323" s="125"/>
      <c r="J323" s="125"/>
      <c r="K323" s="124"/>
      <c r="L323" s="74"/>
    </row>
    <row r="324" spans="1:12">
      <c r="A324" s="122">
        <v>24.3</v>
      </c>
      <c r="B324" s="71">
        <v>44056</v>
      </c>
      <c r="C324" s="30">
        <f t="shared" si="29"/>
        <v>23.667999999999999</v>
      </c>
      <c r="E324" s="123">
        <v>14.690000000000509</v>
      </c>
      <c r="F324" s="123"/>
      <c r="G324" s="123"/>
      <c r="H324" s="123"/>
      <c r="I324" s="123"/>
      <c r="J324" s="123"/>
      <c r="L324" s="74"/>
    </row>
    <row r="325" spans="1:12">
      <c r="A325" s="122">
        <v>21.9</v>
      </c>
      <c r="B325" s="71">
        <v>44057</v>
      </c>
      <c r="C325" s="30">
        <f t="shared" si="29"/>
        <v>24.167999999999999</v>
      </c>
      <c r="L325" s="74"/>
    </row>
    <row r="326" spans="1:12">
      <c r="A326" s="122">
        <v>20.7</v>
      </c>
      <c r="B326" s="71">
        <v>44058</v>
      </c>
      <c r="C326" s="30">
        <f t="shared" si="29"/>
        <v>21.767999999999997</v>
      </c>
      <c r="L326" s="74"/>
    </row>
    <row r="327" spans="1:12">
      <c r="A327" s="122">
        <v>21.9</v>
      </c>
      <c r="B327" s="71">
        <v>44059</v>
      </c>
      <c r="C327" s="30">
        <f t="shared" si="29"/>
        <v>20.567999999999998</v>
      </c>
      <c r="L327" s="74"/>
    </row>
    <row r="328" spans="1:12">
      <c r="A328" s="122">
        <v>21.3</v>
      </c>
      <c r="B328" s="71">
        <v>44060</v>
      </c>
      <c r="C328" s="30">
        <f t="shared" si="29"/>
        <v>21.767999999999997</v>
      </c>
      <c r="L328" s="74"/>
    </row>
    <row r="329" spans="1:12">
      <c r="A329" s="122">
        <v>19.5</v>
      </c>
      <c r="B329" s="71">
        <v>44061</v>
      </c>
      <c r="C329" s="30">
        <f t="shared" si="29"/>
        <v>21.167999999999999</v>
      </c>
      <c r="L329" s="74"/>
    </row>
    <row r="330" spans="1:12">
      <c r="A330" s="122">
        <v>19.899999999999999</v>
      </c>
      <c r="B330" s="71">
        <v>44062</v>
      </c>
      <c r="C330" s="30">
        <f t="shared" ref="C330:C343" si="30">A329+A$1</f>
        <v>19.367999999999999</v>
      </c>
      <c r="L330" s="74"/>
    </row>
    <row r="331" spans="1:12">
      <c r="A331" s="122">
        <v>21.9</v>
      </c>
      <c r="B331" s="71">
        <v>44063</v>
      </c>
      <c r="C331" s="30">
        <f t="shared" si="30"/>
        <v>19.767999999999997</v>
      </c>
      <c r="L331" s="74"/>
    </row>
    <row r="332" spans="1:12">
      <c r="A332" s="122">
        <v>24.6</v>
      </c>
      <c r="B332" s="71">
        <v>44064</v>
      </c>
      <c r="C332" s="30">
        <f t="shared" si="30"/>
        <v>21.767999999999997</v>
      </c>
      <c r="L332" s="74"/>
    </row>
    <row r="333" spans="1:12">
      <c r="A333" s="122">
        <v>22</v>
      </c>
      <c r="B333" s="71">
        <v>44065</v>
      </c>
      <c r="C333" s="30">
        <f t="shared" si="30"/>
        <v>24.468</v>
      </c>
      <c r="L333" s="74"/>
    </row>
    <row r="334" spans="1:12">
      <c r="A334" s="122">
        <v>19.399999999999999</v>
      </c>
      <c r="B334" s="71">
        <v>44066</v>
      </c>
      <c r="C334" s="30">
        <f t="shared" si="30"/>
        <v>21.867999999999999</v>
      </c>
      <c r="L334" s="74"/>
    </row>
    <row r="335" spans="1:12">
      <c r="A335" s="122">
        <v>18</v>
      </c>
      <c r="B335" s="71">
        <v>44067</v>
      </c>
      <c r="C335" s="30">
        <f t="shared" si="30"/>
        <v>19.267999999999997</v>
      </c>
      <c r="L335" s="74"/>
    </row>
    <row r="336" spans="1:12">
      <c r="A336" s="122">
        <v>18.100000000000001</v>
      </c>
      <c r="B336" s="71">
        <v>44068</v>
      </c>
      <c r="C336" s="30">
        <f t="shared" si="30"/>
        <v>17.867999999999999</v>
      </c>
      <c r="L336" s="74"/>
    </row>
    <row r="337" spans="1:14">
      <c r="A337" s="122">
        <v>21.6</v>
      </c>
      <c r="B337" s="71">
        <v>44069</v>
      </c>
      <c r="C337" s="30">
        <f t="shared" si="30"/>
        <v>17.968</v>
      </c>
      <c r="L337" s="74"/>
    </row>
    <row r="338" spans="1:14">
      <c r="A338" s="122">
        <v>18</v>
      </c>
      <c r="B338" s="71">
        <v>44070</v>
      </c>
      <c r="C338" s="30">
        <f t="shared" si="30"/>
        <v>21.468</v>
      </c>
      <c r="L338" s="74"/>
    </row>
    <row r="339" spans="1:14">
      <c r="A339" s="122">
        <v>17.7</v>
      </c>
      <c r="B339" s="71">
        <v>44071</v>
      </c>
      <c r="C339" s="30">
        <f t="shared" si="30"/>
        <v>17.867999999999999</v>
      </c>
      <c r="L339" s="74"/>
    </row>
    <row r="340" spans="1:14">
      <c r="A340" s="122">
        <v>17.3</v>
      </c>
      <c r="B340" s="71">
        <v>44072</v>
      </c>
      <c r="C340" s="30">
        <f t="shared" si="30"/>
        <v>17.567999999999998</v>
      </c>
      <c r="L340" s="74"/>
    </row>
    <row r="341" spans="1:14">
      <c r="A341" s="122">
        <v>16.5</v>
      </c>
      <c r="B341" s="71">
        <v>44073</v>
      </c>
      <c r="C341" s="30">
        <f t="shared" si="30"/>
        <v>17.167999999999999</v>
      </c>
      <c r="L341" s="74"/>
    </row>
    <row r="342" spans="1:14">
      <c r="A342" s="122">
        <v>15.7</v>
      </c>
      <c r="B342" s="71">
        <v>44074</v>
      </c>
      <c r="C342" s="30">
        <f t="shared" si="30"/>
        <v>16.367999999999999</v>
      </c>
      <c r="D342" s="117">
        <v>6029.35</v>
      </c>
      <c r="L342" s="74"/>
    </row>
    <row r="343" spans="1:14">
      <c r="C343" s="30">
        <f t="shared" si="30"/>
        <v>15.568</v>
      </c>
      <c r="D343" s="71"/>
      <c r="E343" s="121"/>
      <c r="F343" s="121"/>
      <c r="G343" s="121"/>
      <c r="H343" s="121"/>
      <c r="I343" s="121"/>
      <c r="J343" s="121"/>
      <c r="K343" s="121"/>
      <c r="L343" s="74"/>
      <c r="N343" s="74"/>
    </row>
    <row r="344" spans="1:14">
      <c r="D344" s="71"/>
      <c r="E344" s="121"/>
      <c r="F344" s="121"/>
      <c r="G344" s="121"/>
      <c r="H344" s="121"/>
      <c r="I344" s="121"/>
      <c r="J344" s="121"/>
      <c r="K344" s="121"/>
      <c r="L344" s="74"/>
      <c r="N344" s="74"/>
    </row>
    <row r="345" spans="1:14">
      <c r="D345" s="71"/>
      <c r="E345" s="121"/>
      <c r="F345" s="121"/>
      <c r="G345" s="121"/>
      <c r="H345" s="121"/>
      <c r="I345" s="121"/>
      <c r="J345" s="121"/>
      <c r="K345" s="121"/>
      <c r="L345" s="74"/>
      <c r="N345" s="74"/>
    </row>
    <row r="346" spans="1:14">
      <c r="D346" s="71"/>
      <c r="E346" s="121"/>
      <c r="F346" s="121"/>
      <c r="G346" s="121"/>
      <c r="H346" s="121"/>
      <c r="I346" s="121"/>
      <c r="J346" s="121"/>
      <c r="K346" s="121"/>
      <c r="L346" s="74"/>
      <c r="N346" s="74"/>
    </row>
    <row r="347" spans="1:14">
      <c r="D347" s="71"/>
      <c r="E347" s="121"/>
      <c r="F347" s="121"/>
      <c r="G347" s="121"/>
      <c r="H347" s="121"/>
      <c r="I347" s="121"/>
      <c r="J347" s="121"/>
      <c r="K347" s="121"/>
      <c r="L347" s="74"/>
      <c r="N347" s="74"/>
    </row>
    <row r="348" spans="1:14">
      <c r="D348" s="71"/>
      <c r="E348" s="121"/>
      <c r="F348" s="121"/>
      <c r="G348" s="121"/>
      <c r="H348" s="121"/>
      <c r="I348" s="121"/>
      <c r="J348" s="121"/>
      <c r="K348" s="121"/>
      <c r="L348" s="74"/>
      <c r="N348" s="74"/>
    </row>
    <row r="349" spans="1:14">
      <c r="D349" s="71"/>
      <c r="E349" s="121"/>
      <c r="F349" s="121"/>
      <c r="G349" s="121"/>
      <c r="H349" s="121"/>
      <c r="I349" s="121"/>
      <c r="J349" s="121"/>
      <c r="K349" s="121"/>
      <c r="L349" s="74"/>
      <c r="N349" s="74"/>
    </row>
    <row r="350" spans="1:14">
      <c r="D350" s="71"/>
      <c r="E350" s="121"/>
      <c r="F350" s="121"/>
      <c r="G350" s="121"/>
      <c r="H350" s="121"/>
      <c r="I350" s="121"/>
      <c r="J350" s="121"/>
      <c r="K350" s="121"/>
      <c r="L350" s="74"/>
      <c r="N350" s="74"/>
    </row>
    <row r="351" spans="1:14">
      <c r="D351" s="71"/>
      <c r="E351" s="121"/>
      <c r="F351" s="121"/>
      <c r="G351" s="121"/>
      <c r="H351" s="121"/>
      <c r="I351" s="121"/>
      <c r="J351" s="121"/>
      <c r="K351" s="121"/>
      <c r="L351" s="74"/>
      <c r="N351" s="74"/>
    </row>
    <row r="352" spans="1:14">
      <c r="D352" s="71"/>
      <c r="E352" s="121"/>
      <c r="F352" s="121"/>
      <c r="G352" s="121"/>
      <c r="H352" s="121"/>
      <c r="I352" s="121"/>
      <c r="J352" s="121"/>
      <c r="K352" s="121"/>
      <c r="L352" s="74"/>
      <c r="N352" s="74"/>
    </row>
    <row r="353" spans="2:14">
      <c r="D353" s="71"/>
      <c r="E353" s="121"/>
      <c r="F353" s="121"/>
      <c r="G353" s="121"/>
      <c r="H353" s="121"/>
      <c r="I353" s="121"/>
      <c r="J353" s="121"/>
      <c r="K353" s="121"/>
      <c r="L353" s="74"/>
      <c r="N353" s="74"/>
    </row>
    <row r="354" spans="2:14">
      <c r="D354" s="71"/>
      <c r="E354" s="121"/>
      <c r="F354" s="121"/>
      <c r="G354" s="121"/>
      <c r="H354" s="121"/>
      <c r="I354" s="121"/>
      <c r="J354" s="121"/>
      <c r="K354" s="121"/>
      <c r="L354" s="74"/>
      <c r="N354" s="74"/>
    </row>
    <row r="355" spans="2:14">
      <c r="D355" s="71"/>
      <c r="E355" s="121"/>
      <c r="F355" s="121"/>
      <c r="G355" s="121"/>
      <c r="H355" s="121"/>
      <c r="I355" s="121"/>
      <c r="J355" s="121"/>
      <c r="K355" s="121"/>
      <c r="L355" s="74"/>
      <c r="N355" s="74"/>
    </row>
    <row r="356" spans="2:14">
      <c r="D356" s="71"/>
      <c r="E356" s="121"/>
      <c r="F356" s="121"/>
      <c r="G356" s="121"/>
      <c r="H356" s="121"/>
      <c r="I356" s="121"/>
      <c r="J356" s="121"/>
      <c r="K356" s="121"/>
      <c r="L356" s="74"/>
      <c r="N356" s="74"/>
    </row>
    <row r="357" spans="2:14">
      <c r="D357" s="71"/>
      <c r="E357" s="121"/>
      <c r="F357" s="121"/>
      <c r="G357" s="121"/>
      <c r="H357" s="121"/>
      <c r="I357" s="121"/>
      <c r="J357" s="121"/>
      <c r="K357" s="121"/>
      <c r="L357" s="74"/>
      <c r="N357" s="74"/>
    </row>
    <row r="358" spans="2:14">
      <c r="D358" s="71"/>
      <c r="E358" s="121"/>
      <c r="F358" s="121"/>
      <c r="G358" s="121"/>
      <c r="H358" s="121"/>
      <c r="I358" s="121"/>
      <c r="J358" s="121"/>
      <c r="K358" s="121"/>
      <c r="L358" s="74"/>
      <c r="N358" s="74"/>
    </row>
    <row r="359" spans="2:14">
      <c r="D359" s="71"/>
      <c r="E359" s="121"/>
      <c r="F359" s="121"/>
      <c r="G359" s="121"/>
      <c r="H359" s="121"/>
      <c r="I359" s="121"/>
      <c r="J359" s="121"/>
      <c r="K359" s="121"/>
      <c r="L359" s="74"/>
      <c r="N359" s="74"/>
    </row>
    <row r="360" spans="2:14">
      <c r="D360" s="71"/>
      <c r="E360" s="121"/>
      <c r="F360" s="121"/>
      <c r="G360" s="121"/>
      <c r="H360" s="121"/>
      <c r="I360" s="121"/>
      <c r="J360" s="121"/>
      <c r="K360" s="121"/>
      <c r="L360" s="74"/>
      <c r="N360" s="74"/>
    </row>
    <row r="361" spans="2:14">
      <c r="B361" s="74"/>
      <c r="C361" s="74"/>
      <c r="D361" s="71"/>
      <c r="E361" s="121"/>
      <c r="F361" s="121"/>
      <c r="G361" s="121"/>
      <c r="H361" s="121"/>
      <c r="I361" s="121"/>
      <c r="J361" s="121"/>
      <c r="K361" s="121"/>
      <c r="L361" s="74"/>
      <c r="N361" s="74"/>
    </row>
    <row r="362" spans="2:14">
      <c r="D362" s="71"/>
      <c r="E362" s="121"/>
      <c r="F362" s="121"/>
      <c r="G362" s="121"/>
      <c r="H362" s="121"/>
      <c r="I362" s="121"/>
      <c r="J362" s="121"/>
      <c r="K362" s="121"/>
      <c r="L362" s="74"/>
      <c r="N362" s="74"/>
    </row>
    <row r="363" spans="2:14">
      <c r="D363" s="71"/>
      <c r="E363" s="121"/>
      <c r="F363" s="121"/>
      <c r="G363" s="121"/>
      <c r="H363" s="121"/>
      <c r="I363" s="121"/>
      <c r="J363" s="121"/>
      <c r="K363" s="121"/>
      <c r="L363" s="74"/>
      <c r="N363" s="74"/>
    </row>
    <row r="364" spans="2:14">
      <c r="D364" s="71"/>
      <c r="E364" s="121"/>
      <c r="F364" s="121"/>
      <c r="G364" s="121"/>
      <c r="H364" s="121"/>
      <c r="I364" s="121"/>
      <c r="J364" s="121"/>
      <c r="K364" s="121"/>
      <c r="L364" s="74"/>
      <c r="N364" s="74"/>
    </row>
    <row r="365" spans="2:14">
      <c r="D365" s="71"/>
      <c r="E365" s="121"/>
      <c r="F365" s="121"/>
      <c r="G365" s="121"/>
      <c r="H365" s="121"/>
      <c r="I365" s="121"/>
      <c r="J365" s="121"/>
      <c r="K365" s="121"/>
      <c r="L365" s="74"/>
      <c r="N365" s="74"/>
    </row>
    <row r="366" spans="2:14">
      <c r="B366" s="74"/>
      <c r="C366" s="74"/>
      <c r="D366" s="71"/>
      <c r="E366" s="121"/>
      <c r="F366" s="121"/>
      <c r="G366" s="121"/>
      <c r="H366" s="121"/>
      <c r="I366" s="121"/>
      <c r="J366" s="121"/>
      <c r="K366" s="121"/>
      <c r="L366" s="74"/>
      <c r="N366" s="74"/>
    </row>
    <row r="367" spans="2:14">
      <c r="D367" s="71"/>
      <c r="E367" s="121"/>
      <c r="F367" s="121"/>
      <c r="G367" s="121"/>
      <c r="H367" s="121"/>
      <c r="I367" s="121"/>
      <c r="J367" s="121"/>
      <c r="K367" s="121"/>
      <c r="L367" s="74"/>
      <c r="N367" s="74"/>
    </row>
    <row r="368" spans="2:14">
      <c r="D368" s="71"/>
      <c r="E368" s="121"/>
      <c r="F368" s="121"/>
      <c r="G368" s="121"/>
      <c r="H368" s="121"/>
      <c r="I368" s="121"/>
      <c r="J368" s="121"/>
      <c r="K368" s="121"/>
      <c r="L368" s="74"/>
      <c r="N368" s="74"/>
    </row>
    <row r="369" spans="2:14">
      <c r="D369" s="71"/>
      <c r="E369" s="121"/>
      <c r="F369" s="121"/>
      <c r="G369" s="121"/>
      <c r="H369" s="121"/>
      <c r="I369" s="121"/>
      <c r="J369" s="121"/>
      <c r="K369" s="121"/>
      <c r="L369" s="74"/>
      <c r="N369" s="74"/>
    </row>
    <row r="370" spans="2:14">
      <c r="D370" s="71"/>
      <c r="E370" s="121"/>
      <c r="F370" s="121"/>
      <c r="G370" s="121"/>
      <c r="H370" s="121"/>
      <c r="I370" s="121"/>
      <c r="J370" s="121"/>
      <c r="K370" s="121"/>
      <c r="L370" s="74"/>
      <c r="N370" s="74"/>
    </row>
    <row r="371" spans="2:14">
      <c r="D371" s="71"/>
      <c r="E371" s="121"/>
      <c r="F371" s="121"/>
      <c r="G371" s="121"/>
      <c r="H371" s="121"/>
      <c r="I371" s="121"/>
      <c r="J371" s="121"/>
      <c r="K371" s="121"/>
      <c r="L371" s="74"/>
      <c r="N371" s="74"/>
    </row>
    <row r="372" spans="2:14">
      <c r="D372" s="71"/>
      <c r="E372" s="121"/>
      <c r="F372" s="121"/>
      <c r="G372" s="121"/>
      <c r="H372" s="121"/>
      <c r="I372" s="121"/>
      <c r="J372" s="121"/>
      <c r="K372" s="121"/>
      <c r="L372" s="74"/>
      <c r="N372" s="74"/>
    </row>
    <row r="373" spans="2:14">
      <c r="B373" s="71"/>
      <c r="C373" s="71"/>
      <c r="D373" s="121"/>
      <c r="E373" s="121"/>
      <c r="F373" s="121"/>
      <c r="G373" s="121"/>
      <c r="H373" s="121"/>
      <c r="I373" s="121"/>
      <c r="J373" s="121"/>
      <c r="K373" s="74"/>
      <c r="M373" s="74"/>
    </row>
  </sheetData>
  <hyperlinks>
    <hyperlink ref="M14" r:id="rId1"/>
    <hyperlink ref="M15" r:id="rId2"/>
  </hyperlinks>
  <pageMargins left="0.7" right="0.7" top="0.78740157499999996" bottom="0.78740157499999996" header="0.3" footer="0.3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P35"/>
  <sheetViews>
    <sheetView workbookViewId="0">
      <selection activeCell="A2" sqref="A2"/>
    </sheetView>
  </sheetViews>
  <sheetFormatPr defaultRowHeight="15"/>
  <cols>
    <col min="1" max="1" width="12.42578125" style="46" customWidth="1"/>
    <col min="2" max="2" width="10.140625" style="46" bestFit="1" customWidth="1"/>
    <col min="3" max="16384" width="9.140625" style="46"/>
  </cols>
  <sheetData>
    <row r="1" spans="1:9">
      <c r="A1" s="141" t="s">
        <v>1543</v>
      </c>
      <c r="E1" s="2">
        <v>0.3</v>
      </c>
      <c r="F1" s="46" t="s">
        <v>8</v>
      </c>
      <c r="G1" s="46">
        <f>E2/30</f>
        <v>0.36666666666666664</v>
      </c>
      <c r="I1" s="19" t="s">
        <v>276</v>
      </c>
    </row>
    <row r="2" spans="1:9">
      <c r="E2" s="2">
        <v>11</v>
      </c>
      <c r="F2" s="46" t="s">
        <v>275</v>
      </c>
      <c r="H2" s="68" t="s">
        <v>274</v>
      </c>
    </row>
    <row r="3" spans="1:9">
      <c r="D3" s="2">
        <v>0.95</v>
      </c>
      <c r="E3" s="2">
        <v>19</v>
      </c>
      <c r="F3" s="46" t="s">
        <v>273</v>
      </c>
      <c r="H3" s="46" t="s">
        <v>281</v>
      </c>
    </row>
    <row r="4" spans="1:9">
      <c r="B4" s="46" t="s">
        <v>272</v>
      </c>
      <c r="C4" s="46" t="s">
        <v>3</v>
      </c>
      <c r="D4" s="46" t="s">
        <v>271</v>
      </c>
      <c r="E4" s="46" t="s">
        <v>270</v>
      </c>
    </row>
    <row r="5" spans="1:9" hidden="1">
      <c r="A5" s="47">
        <v>43373.5</v>
      </c>
    </row>
    <row r="6" spans="1:9" hidden="1">
      <c r="A6" s="47">
        <v>43404.5</v>
      </c>
      <c r="B6" s="46">
        <v>10.941935483870948</v>
      </c>
      <c r="C6" s="46">
        <v>117</v>
      </c>
      <c r="D6" s="46">
        <f>C6*10.7*D$3/24/(A6-A5)</f>
        <v>1.5985282258064515</v>
      </c>
      <c r="E6" s="46">
        <f>(E$3-B6)*E$2/30-E$1</f>
        <v>2.6546236559139857</v>
      </c>
    </row>
    <row r="7" spans="1:9" hidden="1">
      <c r="A7" s="47">
        <v>43434.5</v>
      </c>
      <c r="B7" s="46">
        <v>4.6500000000000155</v>
      </c>
      <c r="C7" s="46">
        <v>269</v>
      </c>
      <c r="D7" s="46">
        <f>C7*10.7*D$3/24/(A7-A6)</f>
        <v>3.7977569444444441</v>
      </c>
      <c r="E7" s="46">
        <f>(E$3-B7)*E$2/30-E$1</f>
        <v>4.9616666666666607</v>
      </c>
    </row>
    <row r="8" spans="1:9" hidden="1">
      <c r="A8" s="47">
        <v>43465.5</v>
      </c>
      <c r="B8" s="46">
        <v>2.9806451612903109</v>
      </c>
      <c r="C8" s="37">
        <v>286</v>
      </c>
      <c r="D8" s="46">
        <f>C8*10.7*D$3/24/(A8-A7)</f>
        <v>3.9075134408602143</v>
      </c>
      <c r="E8" s="46">
        <f>(E$3-B8)*E$2/30-E$1</f>
        <v>5.573763440860219</v>
      </c>
    </row>
    <row r="9" spans="1:9" hidden="1">
      <c r="A9" s="63">
        <v>43496.5</v>
      </c>
      <c r="B9" s="46">
        <v>0.16129032258062315</v>
      </c>
      <c r="C9" s="46">
        <v>403</v>
      </c>
      <c r="D9" s="46">
        <f>C9*10.7*D$3/24/(A9-A8)</f>
        <v>5.5060416666666656</v>
      </c>
      <c r="E9" s="46">
        <f>(E$3-B9)*E$2/30-E$1</f>
        <v>6.6075268817204389</v>
      </c>
    </row>
    <row r="10" spans="1:9" hidden="1">
      <c r="A10" s="63">
        <v>43516.5</v>
      </c>
      <c r="B10" s="46">
        <v>1.8050000000000068</v>
      </c>
      <c r="C10" s="46">
        <v>200</v>
      </c>
      <c r="D10" s="46">
        <f>C10*10.7*D$3/24/(A10-A9)</f>
        <v>4.2354166666666666</v>
      </c>
      <c r="E10" s="46">
        <f>(E$3-B10)*E$2/30-E$1</f>
        <v>6.0048333333333312</v>
      </c>
    </row>
    <row r="11" spans="1:9">
      <c r="A11" s="47">
        <v>43344.5</v>
      </c>
      <c r="F11" s="46" t="s">
        <v>238</v>
      </c>
      <c r="G11" s="46" t="s">
        <v>277</v>
      </c>
      <c r="H11" s="46" t="s">
        <v>278</v>
      </c>
    </row>
    <row r="12" spans="1:9">
      <c r="A12" s="47">
        <v>43373.5</v>
      </c>
      <c r="B12" s="46">
        <v>16.362068965517302</v>
      </c>
      <c r="C12" s="46">
        <v>117</v>
      </c>
      <c r="D12" s="46">
        <f>C12*10.7*D$3/24/(A12-A11)</f>
        <v>1.7087715517241377</v>
      </c>
      <c r="E12" s="46">
        <f>(E$3-B12)*E$2/30-E$1</f>
        <v>0.66724137931032246</v>
      </c>
      <c r="F12" s="46">
        <f t="shared" ref="F12:F17" si="0">D12/E12</f>
        <v>2.5609496124031863</v>
      </c>
      <c r="G12" s="46">
        <f>D12*($A12-$A11)*24</f>
        <v>1189.3049999999998</v>
      </c>
      <c r="H12" s="46">
        <f>E12*($A12-$A11)*24</f>
        <v>464.3999999999844</v>
      </c>
    </row>
    <row r="13" spans="1:9">
      <c r="A13" s="47">
        <v>43404.5</v>
      </c>
      <c r="B13" s="46">
        <v>10.941935483870948</v>
      </c>
      <c r="C13" s="46">
        <v>180</v>
      </c>
      <c r="D13" s="46">
        <f t="shared" ref="D13:D18" si="1">C13*10.7*D$3/24/(A13-A12)</f>
        <v>2.4592741935483864</v>
      </c>
      <c r="E13" s="46">
        <f t="shared" ref="E13:E18" si="2">(E$3-B13)*E$2/30-E$1</f>
        <v>2.6546236559139857</v>
      </c>
      <c r="F13" s="46">
        <f t="shared" si="0"/>
        <v>0.92641161697990648</v>
      </c>
      <c r="G13" s="46">
        <f t="shared" ref="G13:H18" si="3">D13*($A13-$A12)*24</f>
        <v>1829.6999999999996</v>
      </c>
      <c r="H13" s="46">
        <f t="shared" si="3"/>
        <v>1975.0400000000054</v>
      </c>
    </row>
    <row r="14" spans="1:9">
      <c r="A14" s="47">
        <v>43430.5</v>
      </c>
      <c r="B14" s="46">
        <v>5.8000000000000069</v>
      </c>
      <c r="C14" s="46">
        <f>B22-B21</f>
        <v>269</v>
      </c>
      <c r="D14" s="46">
        <f t="shared" si="1"/>
        <v>4.3820272435897429</v>
      </c>
      <c r="E14" s="46">
        <f t="shared" si="2"/>
        <v>4.5399999999999974</v>
      </c>
      <c r="F14" s="46">
        <f t="shared" si="0"/>
        <v>0.96520423867615535</v>
      </c>
      <c r="G14" s="46">
        <f t="shared" si="3"/>
        <v>2734.3849999999998</v>
      </c>
      <c r="H14" s="46">
        <f t="shared" si="3"/>
        <v>2832.9599999999982</v>
      </c>
    </row>
    <row r="15" spans="1:9">
      <c r="A15" s="47">
        <v>43465.5</v>
      </c>
      <c r="B15" s="46">
        <v>2.3171428571428545</v>
      </c>
      <c r="C15" s="46">
        <f>B23-B22</f>
        <v>484</v>
      </c>
      <c r="D15" s="46">
        <f t="shared" si="1"/>
        <v>5.856976190476189</v>
      </c>
      <c r="E15" s="46">
        <f t="shared" si="2"/>
        <v>5.8170476190476208</v>
      </c>
      <c r="F15" s="46">
        <f t="shared" si="0"/>
        <v>1.0068640612976631</v>
      </c>
      <c r="G15" s="46">
        <f t="shared" si="3"/>
        <v>4919.8599999999988</v>
      </c>
      <c r="H15" s="46">
        <f t="shared" si="3"/>
        <v>4886.3200000000015</v>
      </c>
    </row>
    <row r="16" spans="1:9">
      <c r="A16" s="47">
        <v>43491.5</v>
      </c>
      <c r="B16" s="46">
        <v>-5.0000000000024483E-2</v>
      </c>
      <c r="C16" s="46">
        <f>B24-B23</f>
        <v>403</v>
      </c>
      <c r="D16" s="46">
        <f t="shared" si="1"/>
        <v>6.564895833333332</v>
      </c>
      <c r="E16" s="46">
        <f t="shared" si="2"/>
        <v>6.6850000000000103</v>
      </c>
      <c r="F16" s="46">
        <f t="shared" si="0"/>
        <v>0.98203378209922543</v>
      </c>
      <c r="G16" s="46">
        <f t="shared" si="3"/>
        <v>4096.494999999999</v>
      </c>
      <c r="H16" s="46">
        <f t="shared" si="3"/>
        <v>4171.440000000006</v>
      </c>
    </row>
    <row r="17" spans="1:16">
      <c r="A17" s="47">
        <v>43516.5</v>
      </c>
      <c r="B17" s="46">
        <v>1.6960000000000037</v>
      </c>
      <c r="C17" s="46">
        <f>B25-B24</f>
        <v>307</v>
      </c>
      <c r="D17" s="46">
        <f t="shared" si="1"/>
        <v>5.2010916666666649</v>
      </c>
      <c r="E17" s="46">
        <f t="shared" si="2"/>
        <v>6.0447999999999977</v>
      </c>
      <c r="F17" s="46">
        <f t="shared" si="0"/>
        <v>0.86042411108170114</v>
      </c>
      <c r="G17" s="46">
        <f t="shared" si="3"/>
        <v>3120.6549999999988</v>
      </c>
      <c r="H17" s="46">
        <f t="shared" si="3"/>
        <v>3626.8799999999987</v>
      </c>
    </row>
    <row r="18" spans="1:16">
      <c r="A18" s="47">
        <v>43616.5</v>
      </c>
      <c r="B18" s="46">
        <v>9.6070000000000064</v>
      </c>
      <c r="C18" s="2">
        <v>620</v>
      </c>
      <c r="D18" s="46">
        <f t="shared" si="1"/>
        <v>2.6259583333333332</v>
      </c>
      <c r="E18" s="46">
        <f t="shared" si="2"/>
        <v>3.1440999999999977</v>
      </c>
      <c r="G18" s="46">
        <f t="shared" si="3"/>
        <v>6302.2999999999993</v>
      </c>
      <c r="H18" s="46">
        <f t="shared" si="3"/>
        <v>7545.8399999999938</v>
      </c>
    </row>
    <row r="20" spans="1:16">
      <c r="B20" s="46" t="s">
        <v>269</v>
      </c>
      <c r="C20" s="46" t="s">
        <v>268</v>
      </c>
      <c r="G20" s="46">
        <f>SUM(G14:G19)</f>
        <v>21173.694999999996</v>
      </c>
      <c r="H20" s="46">
        <f>SUM(H14:H19)</f>
        <v>23063.439999999999</v>
      </c>
    </row>
    <row r="21" spans="1:16">
      <c r="B21" s="30">
        <v>117</v>
      </c>
      <c r="E21" s="46">
        <v>10.941935483870976</v>
      </c>
      <c r="G21" s="37">
        <f>G20/$D3</f>
        <v>22288.1</v>
      </c>
      <c r="H21" s="37">
        <f>H20/$D3</f>
        <v>24277.305263157894</v>
      </c>
    </row>
    <row r="22" spans="1:16">
      <c r="B22" s="30">
        <v>386</v>
      </c>
      <c r="C22" s="46">
        <f>B22-B21</f>
        <v>269</v>
      </c>
      <c r="E22" s="46">
        <v>5.7999999999999892</v>
      </c>
      <c r="G22" s="46">
        <v>10.7</v>
      </c>
    </row>
    <row r="23" spans="1:16">
      <c r="B23" s="30">
        <v>870</v>
      </c>
      <c r="C23" s="46">
        <f>B23-B22</f>
        <v>484</v>
      </c>
      <c r="E23" s="46">
        <v>2.3171428571429065</v>
      </c>
      <c r="G23" s="46">
        <f>G21/G22</f>
        <v>2083</v>
      </c>
    </row>
    <row r="24" spans="1:16">
      <c r="B24" s="30">
        <v>1273</v>
      </c>
      <c r="C24" s="46">
        <f>B24-B23</f>
        <v>403</v>
      </c>
      <c r="E24" s="46">
        <v>-4.9999999999989504E-2</v>
      </c>
    </row>
    <row r="25" spans="1:16">
      <c r="B25" s="30">
        <v>1580</v>
      </c>
      <c r="C25" s="46">
        <f>B25-B24</f>
        <v>307</v>
      </c>
      <c r="D25" s="46">
        <v>1470</v>
      </c>
      <c r="E25" s="46">
        <v>1.8760000000000219</v>
      </c>
    </row>
    <row r="26" spans="1:16">
      <c r="B26" s="30">
        <v>2200</v>
      </c>
      <c r="C26" s="46">
        <f>B26-B25</f>
        <v>620</v>
      </c>
      <c r="D26" s="46">
        <v>150</v>
      </c>
      <c r="E26" s="46">
        <v>9.6070000000000064</v>
      </c>
    </row>
    <row r="28" spans="1:16">
      <c r="C28" s="46">
        <f>SUM(C22:C27)</f>
        <v>2083</v>
      </c>
      <c r="D28" s="46" t="s">
        <v>280</v>
      </c>
    </row>
    <row r="29" spans="1:16">
      <c r="K29" s="46" t="s">
        <v>267</v>
      </c>
    </row>
    <row r="30" spans="1:16">
      <c r="E30" s="46" t="s">
        <v>266</v>
      </c>
      <c r="F30" s="46" t="s">
        <v>263</v>
      </c>
      <c r="H30" s="46" t="s">
        <v>34</v>
      </c>
      <c r="K30" s="46">
        <v>15</v>
      </c>
      <c r="L30" s="46" t="s">
        <v>265</v>
      </c>
    </row>
    <row r="31" spans="1:16">
      <c r="B31" s="46">
        <v>11</v>
      </c>
      <c r="C31" s="46" t="s">
        <v>129</v>
      </c>
      <c r="E31" s="46">
        <v>16.5</v>
      </c>
      <c r="F31" s="46">
        <f>E31/3.6</f>
        <v>4.583333333333333</v>
      </c>
      <c r="G31" s="46">
        <v>2800</v>
      </c>
      <c r="H31" s="46">
        <f>G31*F31</f>
        <v>12833.333333333332</v>
      </c>
      <c r="K31" s="46">
        <v>1600</v>
      </c>
      <c r="L31" s="46" t="s">
        <v>264</v>
      </c>
      <c r="M31" s="46">
        <v>4.4000000000000004</v>
      </c>
      <c r="N31" s="46" t="s">
        <v>263</v>
      </c>
      <c r="O31" s="46">
        <f>K31/M31</f>
        <v>363.63636363636363</v>
      </c>
      <c r="P31" s="46" t="s">
        <v>262</v>
      </c>
    </row>
    <row r="32" spans="1:16">
      <c r="B32" s="46">
        <v>100</v>
      </c>
      <c r="E32" s="46">
        <v>17.600000000000001</v>
      </c>
      <c r="F32" s="46">
        <f>E32/3.6</f>
        <v>4.8888888888888893</v>
      </c>
      <c r="G32" s="46">
        <v>2800</v>
      </c>
      <c r="H32" s="46">
        <f>G32*F32</f>
        <v>13688.888888888891</v>
      </c>
      <c r="K32" s="46">
        <f>K30*K31</f>
        <v>24000</v>
      </c>
    </row>
    <row r="33" spans="1:11">
      <c r="B33" s="46">
        <f>B31*B32*24</f>
        <v>26400</v>
      </c>
      <c r="C33" s="46" t="s">
        <v>34</v>
      </c>
    </row>
    <row r="34" spans="1:11">
      <c r="A34" s="46">
        <v>0.3</v>
      </c>
      <c r="B34" s="46">
        <f>365*24*A34</f>
        <v>2628</v>
      </c>
      <c r="K34" s="46">
        <f>24/37</f>
        <v>0.64864864864864868</v>
      </c>
    </row>
    <row r="35" spans="1:11">
      <c r="B35" s="46">
        <f>SUM(B33:B34)</f>
        <v>29028</v>
      </c>
      <c r="K35" s="46">
        <f>29/37</f>
        <v>0.78378378378378377</v>
      </c>
    </row>
  </sheetData>
  <hyperlinks>
    <hyperlink ref="I1" r:id="rId1" location="text230"/>
  </hyperlinks>
  <pageMargins left="0.7" right="0.7" top="0.78740157499999996" bottom="0.78740157499999996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R59"/>
  <sheetViews>
    <sheetView workbookViewId="0">
      <selection activeCell="A3" sqref="A3"/>
    </sheetView>
  </sheetViews>
  <sheetFormatPr defaultRowHeight="15"/>
  <cols>
    <col min="1" max="16384" width="9.140625" style="46"/>
  </cols>
  <sheetData>
    <row r="1" spans="1:18">
      <c r="A1" s="141" t="s">
        <v>1544</v>
      </c>
      <c r="B1" s="141"/>
      <c r="C1" s="141"/>
      <c r="D1" s="46" t="s">
        <v>8</v>
      </c>
      <c r="E1" s="2">
        <v>0.4</v>
      </c>
      <c r="F1" s="2">
        <v>13.5</v>
      </c>
      <c r="G1" s="46" t="s">
        <v>225</v>
      </c>
      <c r="I1" s="46" t="s">
        <v>224</v>
      </c>
    </row>
    <row r="2" spans="1:18">
      <c r="A2" s="141"/>
      <c r="E2" s="2">
        <v>0.95</v>
      </c>
      <c r="F2" s="2">
        <v>19</v>
      </c>
      <c r="G2" s="46" t="s">
        <v>223</v>
      </c>
      <c r="I2" s="46" t="s">
        <v>222</v>
      </c>
    </row>
    <row r="3" spans="1:18">
      <c r="I3" s="46" t="s">
        <v>221</v>
      </c>
    </row>
    <row r="4" spans="1:18">
      <c r="B4" s="34">
        <v>42979</v>
      </c>
      <c r="C4" s="46" t="s">
        <v>4</v>
      </c>
      <c r="D4" s="46">
        <v>12.587096774193748</v>
      </c>
      <c r="E4" s="46" t="s">
        <v>33</v>
      </c>
      <c r="F4" s="46" t="s">
        <v>2</v>
      </c>
      <c r="G4" s="46" t="s">
        <v>220</v>
      </c>
      <c r="I4" s="37" t="s">
        <v>219</v>
      </c>
      <c r="O4" s="46" t="s">
        <v>3</v>
      </c>
      <c r="P4" s="46" t="s">
        <v>28</v>
      </c>
      <c r="Q4" s="46" t="s">
        <v>65</v>
      </c>
      <c r="R4" s="46" t="s">
        <v>230</v>
      </c>
    </row>
    <row r="5" spans="1:18">
      <c r="A5" s="46" t="s">
        <v>211</v>
      </c>
      <c r="B5" s="34">
        <v>43009</v>
      </c>
      <c r="C5" s="46">
        <v>300</v>
      </c>
      <c r="D5" s="46">
        <v>11.170000000000073</v>
      </c>
      <c r="E5" s="46">
        <f t="shared" ref="E5:E21" si="0">C5/(B5-B4)*10.7*E$2/24-E$1</f>
        <v>3.8354166666666667</v>
      </c>
      <c r="F5" s="46">
        <f t="shared" ref="F5:F21" si="1">IF(D5&lt;F$2,(F$2-D5)*F$1/30,0)</f>
        <v>3.5234999999999674</v>
      </c>
      <c r="G5" s="46">
        <f t="shared" ref="G5:G21" si="2">E5-F5</f>
        <v>0.31191666666669926</v>
      </c>
      <c r="O5" s="46">
        <f>SUM(C5:C11)</f>
        <v>3182</v>
      </c>
      <c r="P5" s="46">
        <v>0.95</v>
      </c>
      <c r="Q5" s="46">
        <v>13.5</v>
      </c>
      <c r="R5" s="37">
        <f>O5*10.7*P5/Q5/24</f>
        <v>99.83033950617282</v>
      </c>
    </row>
    <row r="6" spans="1:18">
      <c r="A6" s="46" t="s">
        <v>210</v>
      </c>
      <c r="B6" s="34">
        <v>43040</v>
      </c>
      <c r="C6" s="46">
        <v>510</v>
      </c>
      <c r="D6" s="46">
        <v>4.4580645161291148</v>
      </c>
      <c r="E6" s="46">
        <f t="shared" si="0"/>
        <v>6.5679435483870963</v>
      </c>
      <c r="F6" s="46">
        <f t="shared" si="1"/>
        <v>6.5438709677418982</v>
      </c>
      <c r="G6" s="46">
        <f t="shared" si="2"/>
        <v>2.4072580645198016E-2</v>
      </c>
      <c r="O6" s="46">
        <f>SUM(C16:C21)</f>
        <v>2661</v>
      </c>
      <c r="P6" s="46">
        <v>0.95</v>
      </c>
      <c r="Q6" s="46">
        <v>13.5</v>
      </c>
      <c r="R6" s="37">
        <f>O6*10.7*P6/Q6/24</f>
        <v>83.484768518518507</v>
      </c>
    </row>
    <row r="7" spans="1:18">
      <c r="A7" s="46" t="s">
        <v>209</v>
      </c>
      <c r="B7" s="34">
        <v>43070</v>
      </c>
      <c r="C7" s="46">
        <v>565</v>
      </c>
      <c r="D7" s="46">
        <v>2.2806451612904635</v>
      </c>
      <c r="E7" s="46">
        <f t="shared" si="0"/>
        <v>7.5767013888888872</v>
      </c>
      <c r="F7" s="46">
        <f t="shared" si="1"/>
        <v>7.5237096774192906</v>
      </c>
      <c r="G7" s="46">
        <f t="shared" si="2"/>
        <v>5.2991711469596581E-2</v>
      </c>
    </row>
    <row r="8" spans="1:18">
      <c r="A8" s="46" t="s">
        <v>208</v>
      </c>
      <c r="B8" s="34">
        <v>43101</v>
      </c>
      <c r="C8" s="46">
        <v>518</v>
      </c>
      <c r="D8" s="46">
        <v>3.5964285714285325</v>
      </c>
      <c r="E8" s="46">
        <f t="shared" si="0"/>
        <v>6.6772446236559135</v>
      </c>
      <c r="F8" s="46">
        <f t="shared" si="1"/>
        <v>6.9316071428571604</v>
      </c>
      <c r="G8" s="46">
        <f t="shared" si="2"/>
        <v>-0.25436251920124686</v>
      </c>
    </row>
    <row r="9" spans="1:18">
      <c r="A9" s="46" t="s">
        <v>207</v>
      </c>
      <c r="B9" s="34">
        <v>43132</v>
      </c>
      <c r="C9" s="46">
        <v>604</v>
      </c>
      <c r="D9" s="46">
        <v>-2.30322580645166</v>
      </c>
      <c r="E9" s="46">
        <f t="shared" si="0"/>
        <v>7.8522311827956983</v>
      </c>
      <c r="F9" s="46">
        <f t="shared" si="1"/>
        <v>9.5864516129032484</v>
      </c>
      <c r="G9" s="46">
        <f t="shared" si="2"/>
        <v>-1.7342204301075501</v>
      </c>
    </row>
    <row r="10" spans="1:18">
      <c r="A10" s="46" t="s">
        <v>218</v>
      </c>
      <c r="B10" s="34">
        <v>43160</v>
      </c>
      <c r="C10" s="46">
        <v>545</v>
      </c>
      <c r="D10" s="46">
        <v>2.4633333333334426</v>
      </c>
      <c r="E10" s="46">
        <f t="shared" si="0"/>
        <v>7.843936011904761</v>
      </c>
      <c r="F10" s="46">
        <f t="shared" si="1"/>
        <v>7.4414999999999516</v>
      </c>
      <c r="G10" s="46">
        <f t="shared" si="2"/>
        <v>0.40243601190480938</v>
      </c>
    </row>
    <row r="11" spans="1:18">
      <c r="A11" s="46" t="s">
        <v>217</v>
      </c>
      <c r="B11" s="34">
        <v>43191</v>
      </c>
      <c r="C11" s="46">
        <v>140</v>
      </c>
      <c r="D11" s="46">
        <v>13.541935483871002</v>
      </c>
      <c r="E11" s="46">
        <f t="shared" si="0"/>
        <v>1.5127688172043006</v>
      </c>
      <c r="F11" s="46">
        <f t="shared" si="1"/>
        <v>2.4561290322580489</v>
      </c>
      <c r="G11" s="46">
        <f t="shared" si="2"/>
        <v>-0.94336021505374834</v>
      </c>
    </row>
    <row r="12" spans="1:18">
      <c r="A12" s="46" t="s">
        <v>216</v>
      </c>
      <c r="B12" s="34">
        <v>43221</v>
      </c>
      <c r="C12" s="46">
        <v>32</v>
      </c>
      <c r="D12" s="46">
        <v>18.036666666666619</v>
      </c>
      <c r="E12" s="46">
        <f t="shared" si="0"/>
        <v>5.1777777777777645E-2</v>
      </c>
      <c r="F12" s="46">
        <f t="shared" si="1"/>
        <v>0.43350000000002142</v>
      </c>
      <c r="G12" s="46">
        <f t="shared" si="2"/>
        <v>-0.38172222222224378</v>
      </c>
    </row>
    <row r="13" spans="1:18">
      <c r="A13" s="46" t="s">
        <v>215</v>
      </c>
      <c r="B13" s="34">
        <v>43252</v>
      </c>
      <c r="C13" s="46">
        <v>26</v>
      </c>
      <c r="D13" s="46">
        <v>18.154838709677396</v>
      </c>
      <c r="E13" s="46">
        <f t="shared" si="0"/>
        <v>-4.4771505376344112E-2</v>
      </c>
      <c r="F13" s="46">
        <f t="shared" si="1"/>
        <v>0.38032258064517188</v>
      </c>
      <c r="G13" s="46">
        <f t="shared" si="2"/>
        <v>-0.42509408602151599</v>
      </c>
    </row>
    <row r="14" spans="1:18">
      <c r="A14" s="46" t="s">
        <v>214</v>
      </c>
      <c r="B14" s="34">
        <v>43282</v>
      </c>
      <c r="C14" s="46">
        <v>30</v>
      </c>
      <c r="D14" s="46">
        <v>21.961290322580503</v>
      </c>
      <c r="E14" s="46">
        <f t="shared" si="0"/>
        <v>2.3541666666666627E-2</v>
      </c>
      <c r="F14" s="46">
        <f t="shared" si="1"/>
        <v>0</v>
      </c>
      <c r="G14" s="46">
        <f t="shared" si="2"/>
        <v>2.3541666666666627E-2</v>
      </c>
    </row>
    <row r="15" spans="1:18">
      <c r="A15" s="46" t="s">
        <v>213</v>
      </c>
      <c r="B15" s="34">
        <v>43313</v>
      </c>
      <c r="C15" s="46">
        <v>25</v>
      </c>
      <c r="D15" s="46">
        <v>22.476666666666762</v>
      </c>
      <c r="E15" s="46">
        <f t="shared" si="0"/>
        <v>-5.8434139784946326E-2</v>
      </c>
      <c r="F15" s="46">
        <f t="shared" si="1"/>
        <v>0</v>
      </c>
      <c r="G15" s="46">
        <f t="shared" si="2"/>
        <v>-5.8434139784946326E-2</v>
      </c>
    </row>
    <row r="16" spans="1:18">
      <c r="A16" s="46" t="s">
        <v>212</v>
      </c>
      <c r="B16" s="34">
        <v>43344</v>
      </c>
      <c r="C16" s="46">
        <v>108</v>
      </c>
      <c r="D16" s="46">
        <v>15.525806451612938</v>
      </c>
      <c r="E16" s="46">
        <f t="shared" si="0"/>
        <v>1.0755645161290319</v>
      </c>
      <c r="F16" s="46">
        <f t="shared" si="1"/>
        <v>1.5633870967741779</v>
      </c>
      <c r="G16" s="46">
        <f t="shared" si="2"/>
        <v>-0.48782258064514594</v>
      </c>
    </row>
    <row r="17" spans="1:7">
      <c r="A17" s="46" t="s">
        <v>211</v>
      </c>
      <c r="B17" s="34">
        <v>43374</v>
      </c>
      <c r="C17" s="46">
        <v>316</v>
      </c>
      <c r="D17" s="46">
        <v>11.386666666666679</v>
      </c>
      <c r="E17" s="46">
        <f t="shared" si="0"/>
        <v>4.0613055555555553</v>
      </c>
      <c r="F17" s="46">
        <f t="shared" si="1"/>
        <v>3.4259999999999944</v>
      </c>
      <c r="G17" s="46">
        <f t="shared" si="2"/>
        <v>0.6353055555555609</v>
      </c>
    </row>
    <row r="18" spans="1:7">
      <c r="A18" s="46" t="s">
        <v>210</v>
      </c>
      <c r="B18" s="34">
        <v>43405</v>
      </c>
      <c r="C18" s="46">
        <v>478</v>
      </c>
      <c r="D18" s="46">
        <v>4.1483870967742051</v>
      </c>
      <c r="E18" s="46">
        <f t="shared" si="0"/>
        <v>6.1307392473118272</v>
      </c>
      <c r="F18" s="46">
        <f t="shared" si="1"/>
        <v>6.6832258064516079</v>
      </c>
      <c r="G18" s="46">
        <f t="shared" si="2"/>
        <v>-0.55248655913978073</v>
      </c>
    </row>
    <row r="19" spans="1:7">
      <c r="A19" s="46" t="s">
        <v>209</v>
      </c>
      <c r="B19" s="34">
        <v>43435</v>
      </c>
      <c r="C19" s="46">
        <v>593</v>
      </c>
      <c r="D19" s="46">
        <v>3.2290322580642932</v>
      </c>
      <c r="E19" s="46">
        <f t="shared" si="0"/>
        <v>7.972006944444443</v>
      </c>
      <c r="F19" s="46">
        <f t="shared" si="1"/>
        <v>7.0969354838710679</v>
      </c>
      <c r="G19" s="46">
        <f t="shared" si="2"/>
        <v>0.87507146057337515</v>
      </c>
    </row>
    <row r="20" spans="1:7">
      <c r="A20" s="46" t="s">
        <v>208</v>
      </c>
      <c r="B20" s="34">
        <v>43466</v>
      </c>
      <c r="C20" s="46">
        <v>647</v>
      </c>
      <c r="D20" s="46">
        <v>-1.4285714285831221E-2</v>
      </c>
      <c r="E20" s="46">
        <f t="shared" si="0"/>
        <v>8.4397244623655894</v>
      </c>
      <c r="F20" s="46">
        <f t="shared" si="1"/>
        <v>8.5564285714286239</v>
      </c>
      <c r="G20" s="46">
        <f t="shared" si="2"/>
        <v>-0.11670410906303452</v>
      </c>
    </row>
    <row r="21" spans="1:7">
      <c r="A21" s="46" t="s">
        <v>207</v>
      </c>
      <c r="B21" s="34">
        <v>43497</v>
      </c>
      <c r="C21" s="46">
        <v>519</v>
      </c>
      <c r="D21" s="46">
        <v>-1.9735557316975442E-3</v>
      </c>
      <c r="E21" s="46">
        <f t="shared" si="0"/>
        <v>6.6909072580645148</v>
      </c>
      <c r="F21" s="46">
        <f t="shared" si="1"/>
        <v>8.5508881000792645</v>
      </c>
      <c r="G21" s="46">
        <f t="shared" si="2"/>
        <v>-1.8599808420147497</v>
      </c>
    </row>
    <row r="25" spans="1:7">
      <c r="A25" s="19" t="s">
        <v>206</v>
      </c>
    </row>
    <row r="29" spans="1:7">
      <c r="A29" s="30"/>
    </row>
    <row r="34" spans="1:1">
      <c r="A34" s="30"/>
    </row>
    <row r="47" spans="1:1">
      <c r="A47" s="46" t="s">
        <v>205</v>
      </c>
    </row>
    <row r="48" spans="1:1">
      <c r="A48" s="46" t="s">
        <v>204</v>
      </c>
    </row>
    <row r="49" spans="1:1">
      <c r="A49" s="46" t="s">
        <v>203</v>
      </c>
    </row>
    <row r="50" spans="1:1">
      <c r="A50" s="46" t="s">
        <v>202</v>
      </c>
    </row>
    <row r="51" spans="1:1">
      <c r="A51" s="46" t="s">
        <v>201</v>
      </c>
    </row>
    <row r="52" spans="1:1">
      <c r="A52" s="46" t="s">
        <v>200</v>
      </c>
    </row>
    <row r="53" spans="1:1">
      <c r="A53" s="46" t="s">
        <v>199</v>
      </c>
    </row>
    <row r="54" spans="1:1">
      <c r="A54" s="46" t="s">
        <v>198</v>
      </c>
    </row>
    <row r="55" spans="1:1">
      <c r="A55" s="46" t="s">
        <v>197</v>
      </c>
    </row>
    <row r="56" spans="1:1">
      <c r="A56" s="46" t="s">
        <v>196</v>
      </c>
    </row>
    <row r="57" spans="1:1">
      <c r="A57" s="46" t="s">
        <v>195</v>
      </c>
    </row>
    <row r="58" spans="1:1">
      <c r="A58" s="46" t="s">
        <v>194</v>
      </c>
    </row>
    <row r="59" spans="1:1">
      <c r="A59" s="46" t="s">
        <v>193</v>
      </c>
    </row>
  </sheetData>
  <hyperlinks>
    <hyperlink ref="A25" r:id="rId1"/>
  </hyperlinks>
  <pageMargins left="0.7" right="0.7" top="0.78740157499999996" bottom="0.78740157499999996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Q384"/>
  <sheetViews>
    <sheetView workbookViewId="0">
      <selection activeCell="A3" sqref="A3"/>
    </sheetView>
  </sheetViews>
  <sheetFormatPr defaultRowHeight="12.75"/>
  <cols>
    <col min="1" max="1" width="11.7109375" style="53" customWidth="1"/>
    <col min="2" max="7" width="8.42578125" style="53" customWidth="1"/>
    <col min="8" max="16384" width="9.140625" style="53"/>
  </cols>
  <sheetData>
    <row r="1" spans="1:17" ht="15">
      <c r="A1" s="55" t="s">
        <v>259</v>
      </c>
      <c r="D1" s="55" t="s">
        <v>258</v>
      </c>
      <c r="E1" s="60">
        <v>0.3</v>
      </c>
      <c r="F1" s="60">
        <v>16.600000000000001</v>
      </c>
      <c r="G1" s="55" t="s">
        <v>257</v>
      </c>
      <c r="I1" s="53">
        <f>F2-30</f>
        <v>-13</v>
      </c>
      <c r="K1" s="61" t="s">
        <v>132</v>
      </c>
    </row>
    <row r="2" spans="1:17">
      <c r="A2" s="53" t="s">
        <v>1545</v>
      </c>
      <c r="D2" s="55" t="s">
        <v>256</v>
      </c>
      <c r="E2" s="60">
        <v>0.96</v>
      </c>
      <c r="F2" s="60">
        <v>17</v>
      </c>
      <c r="G2" s="55" t="s">
        <v>223</v>
      </c>
      <c r="J2" s="53" t="s">
        <v>255</v>
      </c>
    </row>
    <row r="3" spans="1:17">
      <c r="A3" s="53" t="s">
        <v>254</v>
      </c>
      <c r="B3" s="53" t="s">
        <v>253</v>
      </c>
      <c r="C3" s="53" t="s">
        <v>252</v>
      </c>
      <c r="D3" s="55" t="s">
        <v>178</v>
      </c>
      <c r="E3" s="55" t="s">
        <v>1</v>
      </c>
      <c r="F3" s="55" t="s">
        <v>104</v>
      </c>
      <c r="G3" s="55" t="s">
        <v>251</v>
      </c>
      <c r="J3" s="55" t="s">
        <v>250</v>
      </c>
    </row>
    <row r="4" spans="1:17">
      <c r="A4" s="56">
        <v>43312</v>
      </c>
      <c r="B4" s="55" t="s">
        <v>239</v>
      </c>
      <c r="C4" s="53">
        <v>766</v>
      </c>
      <c r="J4" s="55" t="s">
        <v>279</v>
      </c>
    </row>
    <row r="5" spans="1:17" ht="15">
      <c r="A5" s="56">
        <v>43343</v>
      </c>
      <c r="B5" s="55" t="s">
        <v>239</v>
      </c>
      <c r="C5" s="53">
        <v>780.43799999999999</v>
      </c>
      <c r="D5" s="53">
        <v>22.174193548387144</v>
      </c>
      <c r="E5" s="53">
        <f t="shared" ref="E5:E16" si="0">(C5-C4)/(A5-A4)*10.7*E$2/24-E$1</f>
        <v>-0.10066245161290338</v>
      </c>
      <c r="F5" s="53">
        <f t="shared" ref="F5:F16" si="1">IF(F$2-D5&gt;0,(F$2-D5)*F$1/30,0)</f>
        <v>0</v>
      </c>
      <c r="G5" s="53">
        <f t="shared" ref="G5:G16" si="2">E5-F5</f>
        <v>-0.10066245161290338</v>
      </c>
      <c r="J5" s="55" t="s">
        <v>248</v>
      </c>
      <c r="N5" s="55" t="s">
        <v>249</v>
      </c>
      <c r="Q5" s="51"/>
    </row>
    <row r="6" spans="1:17" ht="15">
      <c r="A6" s="56">
        <v>43373</v>
      </c>
      <c r="B6" s="55" t="s">
        <v>239</v>
      </c>
      <c r="C6" s="53">
        <v>875.56100000000004</v>
      </c>
      <c r="D6" s="53">
        <v>16.290000000000084</v>
      </c>
      <c r="E6" s="53">
        <f t="shared" si="0"/>
        <v>1.0570881333333337</v>
      </c>
      <c r="F6" s="53">
        <f t="shared" si="1"/>
        <v>0.39286666666662001</v>
      </c>
      <c r="G6" s="53">
        <f t="shared" si="2"/>
        <v>0.66422146666671367</v>
      </c>
      <c r="N6" s="62">
        <v>87.127499999999984</v>
      </c>
      <c r="O6" s="59">
        <v>35548.019999999997</v>
      </c>
      <c r="P6" s="59" t="s">
        <v>247</v>
      </c>
      <c r="Q6" s="58"/>
    </row>
    <row r="7" spans="1:17" ht="15">
      <c r="A7" s="56">
        <v>43404</v>
      </c>
      <c r="B7" s="55" t="s">
        <v>239</v>
      </c>
      <c r="C7" s="53">
        <v>1146.1189999999999</v>
      </c>
      <c r="D7" s="53">
        <v>10.941935483870932</v>
      </c>
      <c r="E7" s="53">
        <f t="shared" si="0"/>
        <v>3.4354459354838691</v>
      </c>
      <c r="F7" s="53">
        <f t="shared" si="1"/>
        <v>3.3521290322580848</v>
      </c>
      <c r="G7" s="53">
        <f t="shared" si="2"/>
        <v>8.3316903225784333E-2</v>
      </c>
      <c r="K7" s="53">
        <f>C16-C4</f>
        <v>3654.6000000000004</v>
      </c>
      <c r="N7" s="62">
        <v>96.953333333333305</v>
      </c>
      <c r="O7" s="59">
        <v>39556.959999999992</v>
      </c>
      <c r="P7" s="59" t="s">
        <v>246</v>
      </c>
      <c r="Q7" s="58"/>
    </row>
    <row r="8" spans="1:17" ht="15">
      <c r="A8" s="56">
        <v>43434</v>
      </c>
      <c r="B8" s="55" t="s">
        <v>239</v>
      </c>
      <c r="C8" s="53">
        <v>1618</v>
      </c>
      <c r="D8" s="53">
        <v>4.6500000000000608</v>
      </c>
      <c r="E8" s="53">
        <f t="shared" si="0"/>
        <v>6.4321689333333341</v>
      </c>
      <c r="F8" s="53">
        <f t="shared" si="1"/>
        <v>6.833666666666633</v>
      </c>
      <c r="G8" s="53">
        <f t="shared" si="2"/>
        <v>-0.40149773333329897</v>
      </c>
      <c r="K8" s="53">
        <f>10.7*0.96*K7</f>
        <v>37540.051200000002</v>
      </c>
      <c r="L8" s="55" t="s">
        <v>244</v>
      </c>
      <c r="N8" s="62">
        <v>88.474166666666719</v>
      </c>
      <c r="O8" s="59">
        <v>36097.460000000021</v>
      </c>
      <c r="P8" s="59" t="s">
        <v>245</v>
      </c>
      <c r="Q8" s="58"/>
    </row>
    <row r="9" spans="1:17" ht="15">
      <c r="A9" s="56">
        <v>43465</v>
      </c>
      <c r="B9" s="55" t="s">
        <v>239</v>
      </c>
      <c r="C9" s="53">
        <v>2218</v>
      </c>
      <c r="D9" s="53">
        <v>2.980645161290076</v>
      </c>
      <c r="E9" s="53">
        <f t="shared" si="0"/>
        <v>7.9838709677419351</v>
      </c>
      <c r="F9" s="53">
        <f t="shared" si="1"/>
        <v>7.7573763440861585</v>
      </c>
      <c r="G9" s="53">
        <f t="shared" si="2"/>
        <v>0.22649462365577655</v>
      </c>
      <c r="K9" s="53">
        <f>K8-K10</f>
        <v>34912.051200000002</v>
      </c>
      <c r="L9" s="55" t="s">
        <v>242</v>
      </c>
      <c r="N9" s="62">
        <v>84.906666666666709</v>
      </c>
      <c r="O9" s="59">
        <v>34641.92000000002</v>
      </c>
      <c r="P9" s="59" t="s">
        <v>243</v>
      </c>
      <c r="Q9" s="58"/>
    </row>
    <row r="10" spans="1:17" ht="15">
      <c r="A10" s="56">
        <v>43496</v>
      </c>
      <c r="B10" s="55" t="s">
        <v>239</v>
      </c>
      <c r="C10" s="53">
        <v>2919</v>
      </c>
      <c r="D10" s="53">
        <v>0.16129032258052781</v>
      </c>
      <c r="E10" s="53">
        <f t="shared" si="0"/>
        <v>9.3783225806451593</v>
      </c>
      <c r="F10" s="53">
        <f t="shared" si="1"/>
        <v>9.3174193548387745</v>
      </c>
      <c r="G10" s="53">
        <f t="shared" si="2"/>
        <v>6.0903225806384853E-2</v>
      </c>
      <c r="J10" s="53">
        <v>0.3</v>
      </c>
      <c r="K10" s="53">
        <f>365*24*J10</f>
        <v>2628</v>
      </c>
      <c r="L10" s="55" t="s">
        <v>241</v>
      </c>
      <c r="N10" s="61" t="s">
        <v>240</v>
      </c>
    </row>
    <row r="11" spans="1:17">
      <c r="A11" s="56">
        <v>43524</v>
      </c>
      <c r="B11" s="55" t="s">
        <v>239</v>
      </c>
      <c r="C11" s="53">
        <v>3443.797</v>
      </c>
      <c r="D11" s="53">
        <v>2.7857142857143509</v>
      </c>
      <c r="E11" s="53">
        <f t="shared" si="0"/>
        <v>7.7218970000000011</v>
      </c>
      <c r="F11" s="53">
        <f t="shared" si="1"/>
        <v>7.8652380952380598</v>
      </c>
      <c r="G11" s="53">
        <f t="shared" si="2"/>
        <v>-0.14334109523805871</v>
      </c>
      <c r="K11" s="57">
        <f>K10/K9</f>
        <v>7.5274866691304579E-2</v>
      </c>
      <c r="L11" s="55" t="s">
        <v>238</v>
      </c>
    </row>
    <row r="12" spans="1:17">
      <c r="A12" s="56">
        <v>43555</v>
      </c>
      <c r="B12" s="55" t="s">
        <v>239</v>
      </c>
      <c r="C12" s="53">
        <v>3882</v>
      </c>
      <c r="D12" s="53">
        <v>7.3999999999999293</v>
      </c>
      <c r="E12" s="53">
        <f t="shared" si="0"/>
        <v>5.7500285161290314</v>
      </c>
      <c r="F12" s="53">
        <f t="shared" si="1"/>
        <v>5.3120000000000394</v>
      </c>
      <c r="G12" s="53">
        <f t="shared" si="2"/>
        <v>0.43802851612899207</v>
      </c>
    </row>
    <row r="13" spans="1:17">
      <c r="A13" s="56">
        <v>43585</v>
      </c>
      <c r="B13" s="55" t="s">
        <v>239</v>
      </c>
      <c r="C13" s="53">
        <v>4138.3500000000004</v>
      </c>
      <c r="D13" s="53">
        <v>10.726666666666764</v>
      </c>
      <c r="E13" s="53">
        <f t="shared" si="0"/>
        <v>3.357260000000005</v>
      </c>
      <c r="F13" s="53">
        <f t="shared" si="1"/>
        <v>3.4712444444443906</v>
      </c>
      <c r="G13" s="53">
        <f t="shared" si="2"/>
        <v>-0.1139844444443856</v>
      </c>
    </row>
    <row r="14" spans="1:17">
      <c r="A14" s="56">
        <v>43616</v>
      </c>
      <c r="B14" s="55" t="s">
        <v>239</v>
      </c>
      <c r="C14" s="53">
        <v>4377</v>
      </c>
      <c r="D14" s="53">
        <v>12.003225806451448</v>
      </c>
      <c r="E14" s="53">
        <f t="shared" si="0"/>
        <v>2.9949096774193498</v>
      </c>
      <c r="F14" s="53">
        <f t="shared" si="1"/>
        <v>2.7648817204301985</v>
      </c>
      <c r="G14" s="53">
        <f t="shared" si="2"/>
        <v>0.23002795698915124</v>
      </c>
    </row>
    <row r="15" spans="1:17">
      <c r="A15" s="56">
        <v>43646</v>
      </c>
      <c r="B15" s="55" t="s">
        <v>239</v>
      </c>
      <c r="C15" s="53">
        <v>4398.72</v>
      </c>
      <c r="D15" s="53">
        <v>21.836666666666861</v>
      </c>
      <c r="E15" s="53">
        <f t="shared" si="0"/>
        <v>9.8720000000036556E-3</v>
      </c>
      <c r="F15" s="53">
        <f t="shared" si="1"/>
        <v>0</v>
      </c>
      <c r="G15" s="53">
        <f t="shared" si="2"/>
        <v>9.8720000000036556E-3</v>
      </c>
    </row>
    <row r="16" spans="1:17">
      <c r="A16" s="56">
        <v>43677</v>
      </c>
      <c r="B16" s="55" t="s">
        <v>239</v>
      </c>
      <c r="C16" s="53">
        <v>4420.6000000000004</v>
      </c>
      <c r="D16" s="53">
        <v>20.43870967741919</v>
      </c>
      <c r="E16" s="53">
        <f t="shared" si="0"/>
        <v>2.0851612903241001E-3</v>
      </c>
      <c r="F16" s="53">
        <f t="shared" si="1"/>
        <v>0</v>
      </c>
      <c r="G16" s="53">
        <f t="shared" si="2"/>
        <v>2.0851612903241001E-3</v>
      </c>
    </row>
    <row r="17" spans="1:7">
      <c r="G17" s="53" t="s">
        <v>261</v>
      </c>
    </row>
    <row r="18" spans="1:7">
      <c r="D18" s="60">
        <v>4</v>
      </c>
      <c r="G18" s="53">
        <f>20+(20-D18)*1.2</f>
        <v>39.200000000000003</v>
      </c>
    </row>
    <row r="19" spans="1:7">
      <c r="A19" s="54">
        <v>43312</v>
      </c>
      <c r="D19" s="53">
        <v>26.9</v>
      </c>
      <c r="F19" s="53">
        <f t="shared" ref="F19:F82" si="3">IF(F$2-D19&gt;0,(F$2-D19)*F$1/30,0)</f>
        <v>0</v>
      </c>
      <c r="G19" s="53">
        <f t="shared" ref="G19:G82" si="4">20+(20-D19)*1.2</f>
        <v>11.720000000000002</v>
      </c>
    </row>
    <row r="20" spans="1:7">
      <c r="A20" s="54">
        <v>43313</v>
      </c>
      <c r="D20" s="53">
        <v>27.3</v>
      </c>
      <c r="F20" s="53">
        <f t="shared" si="3"/>
        <v>0</v>
      </c>
      <c r="G20" s="53">
        <f t="shared" si="4"/>
        <v>11.24</v>
      </c>
    </row>
    <row r="21" spans="1:7">
      <c r="A21" s="54">
        <v>43314</v>
      </c>
      <c r="D21" s="53">
        <v>26.7</v>
      </c>
      <c r="F21" s="53">
        <f t="shared" si="3"/>
        <v>0</v>
      </c>
      <c r="G21" s="53">
        <f t="shared" si="4"/>
        <v>11.96</v>
      </c>
    </row>
    <row r="22" spans="1:7">
      <c r="A22" s="54">
        <v>43315</v>
      </c>
      <c r="D22" s="53">
        <v>26.7</v>
      </c>
      <c r="F22" s="53">
        <f t="shared" si="3"/>
        <v>0</v>
      </c>
      <c r="G22" s="53">
        <f t="shared" si="4"/>
        <v>11.96</v>
      </c>
    </row>
    <row r="23" spans="1:7">
      <c r="A23" s="54">
        <v>43316</v>
      </c>
      <c r="D23" s="53">
        <v>25.9</v>
      </c>
      <c r="F23" s="53">
        <f t="shared" si="3"/>
        <v>0</v>
      </c>
      <c r="G23" s="53">
        <f t="shared" si="4"/>
        <v>12.920000000000002</v>
      </c>
    </row>
    <row r="24" spans="1:7">
      <c r="A24" s="54">
        <v>43317</v>
      </c>
      <c r="D24" s="53">
        <v>22.8</v>
      </c>
      <c r="F24" s="53">
        <f t="shared" si="3"/>
        <v>0</v>
      </c>
      <c r="G24" s="53">
        <f t="shared" si="4"/>
        <v>16.64</v>
      </c>
    </row>
    <row r="25" spans="1:7">
      <c r="A25" s="54">
        <v>43318</v>
      </c>
      <c r="D25" s="53">
        <v>22.4</v>
      </c>
      <c r="F25" s="53">
        <f t="shared" si="3"/>
        <v>0</v>
      </c>
      <c r="G25" s="53">
        <f t="shared" si="4"/>
        <v>17.12</v>
      </c>
    </row>
    <row r="26" spans="1:7">
      <c r="A26" s="54">
        <v>43319</v>
      </c>
      <c r="D26" s="53">
        <v>24.5</v>
      </c>
      <c r="F26" s="53">
        <f t="shared" si="3"/>
        <v>0</v>
      </c>
      <c r="G26" s="53">
        <f t="shared" si="4"/>
        <v>14.600000000000001</v>
      </c>
    </row>
    <row r="27" spans="1:7">
      <c r="A27" s="54">
        <v>43320</v>
      </c>
      <c r="D27" s="53">
        <v>25.4</v>
      </c>
      <c r="F27" s="53">
        <f t="shared" si="3"/>
        <v>0</v>
      </c>
      <c r="G27" s="53">
        <f t="shared" si="4"/>
        <v>13.520000000000003</v>
      </c>
    </row>
    <row r="28" spans="1:7">
      <c r="A28" s="54">
        <v>43321</v>
      </c>
      <c r="D28" s="53">
        <v>25.4</v>
      </c>
      <c r="F28" s="53">
        <f t="shared" si="3"/>
        <v>0</v>
      </c>
      <c r="G28" s="53">
        <f t="shared" si="4"/>
        <v>13.520000000000003</v>
      </c>
    </row>
    <row r="29" spans="1:7">
      <c r="A29" s="54">
        <v>43322</v>
      </c>
      <c r="D29" s="53">
        <v>20.9</v>
      </c>
      <c r="F29" s="53">
        <f t="shared" si="3"/>
        <v>0</v>
      </c>
      <c r="G29" s="53">
        <f t="shared" si="4"/>
        <v>18.920000000000002</v>
      </c>
    </row>
    <row r="30" spans="1:7">
      <c r="A30" s="54">
        <v>43323</v>
      </c>
      <c r="D30" s="53">
        <v>19.899999999999999</v>
      </c>
      <c r="F30" s="53">
        <f t="shared" si="3"/>
        <v>0</v>
      </c>
      <c r="G30" s="53">
        <f t="shared" si="4"/>
        <v>20.12</v>
      </c>
    </row>
    <row r="31" spans="1:7">
      <c r="A31" s="54">
        <v>43324</v>
      </c>
      <c r="D31" s="53">
        <v>20.399999999999999</v>
      </c>
      <c r="F31" s="53">
        <f t="shared" si="3"/>
        <v>0</v>
      </c>
      <c r="G31" s="53">
        <f t="shared" si="4"/>
        <v>19.520000000000003</v>
      </c>
    </row>
    <row r="32" spans="1:7">
      <c r="A32" s="54">
        <v>43325</v>
      </c>
      <c r="D32" s="53">
        <v>22.7</v>
      </c>
      <c r="F32" s="53">
        <f t="shared" si="3"/>
        <v>0</v>
      </c>
      <c r="G32" s="53">
        <f t="shared" si="4"/>
        <v>16.760000000000002</v>
      </c>
    </row>
    <row r="33" spans="1:7">
      <c r="A33" s="54">
        <v>43326</v>
      </c>
      <c r="D33" s="53">
        <v>21.5</v>
      </c>
      <c r="F33" s="53">
        <f t="shared" si="3"/>
        <v>0</v>
      </c>
      <c r="G33" s="53">
        <f t="shared" si="4"/>
        <v>18.2</v>
      </c>
    </row>
    <row r="34" spans="1:7">
      <c r="A34" s="54">
        <v>43327</v>
      </c>
      <c r="D34" s="53">
        <v>21</v>
      </c>
      <c r="F34" s="53">
        <f t="shared" si="3"/>
        <v>0</v>
      </c>
      <c r="G34" s="53">
        <f t="shared" si="4"/>
        <v>18.8</v>
      </c>
    </row>
    <row r="35" spans="1:7">
      <c r="A35" s="54">
        <v>43328</v>
      </c>
      <c r="D35" s="53">
        <v>22.5</v>
      </c>
      <c r="F35" s="53">
        <f t="shared" si="3"/>
        <v>0</v>
      </c>
      <c r="G35" s="53">
        <f t="shared" si="4"/>
        <v>17</v>
      </c>
    </row>
    <row r="36" spans="1:7">
      <c r="A36" s="54">
        <v>43329</v>
      </c>
      <c r="D36" s="53">
        <v>23.2</v>
      </c>
      <c r="F36" s="53">
        <f t="shared" si="3"/>
        <v>0</v>
      </c>
      <c r="G36" s="53">
        <f t="shared" si="4"/>
        <v>16.16</v>
      </c>
    </row>
    <row r="37" spans="1:7">
      <c r="A37" s="54">
        <v>43330</v>
      </c>
      <c r="D37" s="53">
        <v>23.4</v>
      </c>
      <c r="F37" s="53">
        <f t="shared" si="3"/>
        <v>0</v>
      </c>
      <c r="G37" s="53">
        <f t="shared" si="4"/>
        <v>15.920000000000002</v>
      </c>
    </row>
    <row r="38" spans="1:7">
      <c r="A38" s="54">
        <v>43331</v>
      </c>
      <c r="D38" s="53">
        <v>25.3</v>
      </c>
      <c r="F38" s="53">
        <f t="shared" si="3"/>
        <v>0</v>
      </c>
      <c r="G38" s="53">
        <f t="shared" si="4"/>
        <v>13.64</v>
      </c>
    </row>
    <row r="39" spans="1:7">
      <c r="A39" s="54">
        <v>43332</v>
      </c>
      <c r="D39" s="53">
        <v>25</v>
      </c>
      <c r="F39" s="53">
        <f t="shared" si="3"/>
        <v>0</v>
      </c>
      <c r="G39" s="53">
        <f t="shared" si="4"/>
        <v>14</v>
      </c>
    </row>
    <row r="40" spans="1:7">
      <c r="A40" s="54">
        <v>43333</v>
      </c>
      <c r="D40" s="53">
        <v>22.2</v>
      </c>
      <c r="F40" s="53">
        <f t="shared" si="3"/>
        <v>0</v>
      </c>
      <c r="G40" s="53">
        <f t="shared" si="4"/>
        <v>17.36</v>
      </c>
    </row>
    <row r="41" spans="1:7">
      <c r="A41" s="54">
        <v>43334</v>
      </c>
      <c r="D41" s="53">
        <v>23.7</v>
      </c>
      <c r="F41" s="53">
        <f t="shared" si="3"/>
        <v>0</v>
      </c>
      <c r="G41" s="53">
        <f t="shared" si="4"/>
        <v>15.560000000000002</v>
      </c>
    </row>
    <row r="42" spans="1:7">
      <c r="A42" s="54">
        <v>43335</v>
      </c>
      <c r="D42" s="53">
        <v>24.5</v>
      </c>
      <c r="F42" s="53">
        <f t="shared" si="3"/>
        <v>0</v>
      </c>
      <c r="G42" s="53">
        <f t="shared" si="4"/>
        <v>14.600000000000001</v>
      </c>
    </row>
    <row r="43" spans="1:7">
      <c r="A43" s="54">
        <v>43336</v>
      </c>
      <c r="D43" s="53">
        <v>20.7</v>
      </c>
      <c r="F43" s="53">
        <f t="shared" si="3"/>
        <v>0</v>
      </c>
      <c r="G43" s="53">
        <f t="shared" si="4"/>
        <v>19.16</v>
      </c>
    </row>
    <row r="44" spans="1:7">
      <c r="A44" s="54">
        <v>43337</v>
      </c>
      <c r="D44" s="53">
        <v>16.8</v>
      </c>
      <c r="F44" s="53">
        <f t="shared" si="3"/>
        <v>0.11066666666666627</v>
      </c>
      <c r="G44" s="53">
        <f t="shared" si="4"/>
        <v>23.84</v>
      </c>
    </row>
    <row r="45" spans="1:7">
      <c r="A45" s="54">
        <v>43338</v>
      </c>
      <c r="D45" s="53">
        <v>15.2</v>
      </c>
      <c r="F45" s="53">
        <f t="shared" si="3"/>
        <v>0.99600000000000044</v>
      </c>
      <c r="G45" s="53">
        <f t="shared" si="4"/>
        <v>25.76</v>
      </c>
    </row>
    <row r="46" spans="1:7">
      <c r="A46" s="54">
        <v>43339</v>
      </c>
      <c r="D46" s="53">
        <v>17.2</v>
      </c>
      <c r="F46" s="53">
        <f t="shared" si="3"/>
        <v>0</v>
      </c>
      <c r="G46" s="53">
        <f t="shared" si="4"/>
        <v>23.36</v>
      </c>
    </row>
    <row r="47" spans="1:7">
      <c r="A47" s="54">
        <v>43340</v>
      </c>
      <c r="D47" s="53">
        <v>19.2</v>
      </c>
      <c r="F47" s="53">
        <f t="shared" si="3"/>
        <v>0</v>
      </c>
      <c r="G47" s="53">
        <f t="shared" si="4"/>
        <v>20.96</v>
      </c>
    </row>
    <row r="48" spans="1:7">
      <c r="A48" s="54">
        <v>43341</v>
      </c>
      <c r="D48" s="53">
        <v>20.100000000000001</v>
      </c>
      <c r="F48" s="53">
        <f t="shared" si="3"/>
        <v>0</v>
      </c>
      <c r="G48" s="53">
        <f t="shared" si="4"/>
        <v>19.88</v>
      </c>
    </row>
    <row r="49" spans="1:7">
      <c r="A49" s="54">
        <v>43342</v>
      </c>
      <c r="D49" s="53">
        <v>19.100000000000001</v>
      </c>
      <c r="F49" s="53">
        <f t="shared" si="3"/>
        <v>0</v>
      </c>
      <c r="G49" s="53">
        <f t="shared" si="4"/>
        <v>21.08</v>
      </c>
    </row>
    <row r="50" spans="1:7">
      <c r="A50" s="54">
        <v>43343</v>
      </c>
      <c r="D50" s="53">
        <v>15.8</v>
      </c>
      <c r="F50" s="53">
        <f t="shared" si="3"/>
        <v>0.6639999999999997</v>
      </c>
      <c r="G50" s="53">
        <f t="shared" si="4"/>
        <v>25.04</v>
      </c>
    </row>
    <row r="51" spans="1:7">
      <c r="A51" s="54">
        <v>43344</v>
      </c>
      <c r="D51" s="53">
        <v>14.2</v>
      </c>
      <c r="F51" s="53">
        <f t="shared" si="3"/>
        <v>1.5493333333333339</v>
      </c>
      <c r="G51" s="53">
        <f t="shared" si="4"/>
        <v>26.96</v>
      </c>
    </row>
    <row r="52" spans="1:7">
      <c r="A52" s="54">
        <v>43345</v>
      </c>
      <c r="D52" s="53">
        <v>16.5</v>
      </c>
      <c r="F52" s="53">
        <f t="shared" si="3"/>
        <v>0.27666666666666667</v>
      </c>
      <c r="G52" s="53">
        <f t="shared" si="4"/>
        <v>24.2</v>
      </c>
    </row>
    <row r="53" spans="1:7">
      <c r="A53" s="54">
        <v>43346</v>
      </c>
      <c r="D53" s="53">
        <v>18.7</v>
      </c>
      <c r="F53" s="53">
        <f t="shared" si="3"/>
        <v>0</v>
      </c>
      <c r="G53" s="53">
        <f t="shared" si="4"/>
        <v>21.560000000000002</v>
      </c>
    </row>
    <row r="54" spans="1:7">
      <c r="A54" s="54">
        <v>43347</v>
      </c>
      <c r="D54" s="53">
        <v>20.2</v>
      </c>
      <c r="F54" s="53">
        <f t="shared" si="3"/>
        <v>0</v>
      </c>
      <c r="G54" s="53">
        <f t="shared" si="4"/>
        <v>19.760000000000002</v>
      </c>
    </row>
    <row r="55" spans="1:7">
      <c r="A55" s="54">
        <v>43348</v>
      </c>
      <c r="D55" s="53">
        <v>19.600000000000001</v>
      </c>
      <c r="F55" s="53">
        <f t="shared" si="3"/>
        <v>0</v>
      </c>
      <c r="G55" s="53">
        <f t="shared" si="4"/>
        <v>20.479999999999997</v>
      </c>
    </row>
    <row r="56" spans="1:7">
      <c r="A56" s="54">
        <v>43349</v>
      </c>
      <c r="D56" s="53">
        <v>19.2</v>
      </c>
      <c r="F56" s="53">
        <f t="shared" si="3"/>
        <v>0</v>
      </c>
      <c r="G56" s="53">
        <f t="shared" si="4"/>
        <v>20.96</v>
      </c>
    </row>
    <row r="57" spans="1:7">
      <c r="A57" s="54">
        <v>43350</v>
      </c>
      <c r="D57" s="53">
        <v>17.3</v>
      </c>
      <c r="F57" s="53">
        <f t="shared" si="3"/>
        <v>0</v>
      </c>
      <c r="G57" s="53">
        <f t="shared" si="4"/>
        <v>23.24</v>
      </c>
    </row>
    <row r="58" spans="1:7">
      <c r="A58" s="54">
        <v>43351</v>
      </c>
      <c r="D58" s="53">
        <v>17.100000000000001</v>
      </c>
      <c r="F58" s="53">
        <f t="shared" si="3"/>
        <v>0</v>
      </c>
      <c r="G58" s="53">
        <f t="shared" si="4"/>
        <v>23.479999999999997</v>
      </c>
    </row>
    <row r="59" spans="1:7">
      <c r="A59" s="54">
        <v>43352</v>
      </c>
      <c r="D59" s="53">
        <v>17</v>
      </c>
      <c r="F59" s="53">
        <f t="shared" si="3"/>
        <v>0</v>
      </c>
      <c r="G59" s="53">
        <f t="shared" si="4"/>
        <v>23.6</v>
      </c>
    </row>
    <row r="60" spans="1:7">
      <c r="A60" s="54">
        <v>43353</v>
      </c>
      <c r="D60" s="53">
        <v>19</v>
      </c>
      <c r="F60" s="53">
        <f t="shared" si="3"/>
        <v>0</v>
      </c>
      <c r="G60" s="53">
        <f t="shared" si="4"/>
        <v>21.2</v>
      </c>
    </row>
    <row r="61" spans="1:7">
      <c r="A61" s="54">
        <v>43354</v>
      </c>
      <c r="D61" s="53">
        <v>21.4</v>
      </c>
      <c r="F61" s="53">
        <f t="shared" si="3"/>
        <v>0</v>
      </c>
      <c r="G61" s="53">
        <f t="shared" si="4"/>
        <v>18.32</v>
      </c>
    </row>
    <row r="62" spans="1:7">
      <c r="A62" s="54">
        <v>43355</v>
      </c>
      <c r="D62" s="53">
        <v>22.1</v>
      </c>
      <c r="F62" s="53">
        <f t="shared" si="3"/>
        <v>0</v>
      </c>
      <c r="G62" s="53">
        <f t="shared" si="4"/>
        <v>17.479999999999997</v>
      </c>
    </row>
    <row r="63" spans="1:7">
      <c r="A63" s="54">
        <v>43356</v>
      </c>
      <c r="D63" s="53">
        <v>17.8</v>
      </c>
      <c r="F63" s="53">
        <f t="shared" si="3"/>
        <v>0</v>
      </c>
      <c r="G63" s="53">
        <f t="shared" si="4"/>
        <v>22.64</v>
      </c>
    </row>
    <row r="64" spans="1:7">
      <c r="A64" s="54">
        <v>43357</v>
      </c>
      <c r="D64" s="53">
        <v>16.100000000000001</v>
      </c>
      <c r="F64" s="53">
        <f t="shared" si="3"/>
        <v>0.49799999999999928</v>
      </c>
      <c r="G64" s="53">
        <f t="shared" si="4"/>
        <v>24.68</v>
      </c>
    </row>
    <row r="65" spans="1:7">
      <c r="A65" s="54">
        <v>43358</v>
      </c>
      <c r="D65" s="53">
        <v>15.8</v>
      </c>
      <c r="F65" s="53">
        <f t="shared" si="3"/>
        <v>0.6639999999999997</v>
      </c>
      <c r="G65" s="53">
        <f t="shared" si="4"/>
        <v>25.04</v>
      </c>
    </row>
    <row r="66" spans="1:7">
      <c r="A66" s="54">
        <v>43359</v>
      </c>
      <c r="D66" s="53">
        <v>15.8</v>
      </c>
      <c r="F66" s="53">
        <f t="shared" si="3"/>
        <v>0.6639999999999997</v>
      </c>
      <c r="G66" s="53">
        <f t="shared" si="4"/>
        <v>25.04</v>
      </c>
    </row>
    <row r="67" spans="1:7">
      <c r="A67" s="54">
        <v>43360</v>
      </c>
      <c r="D67" s="53">
        <v>17.399999999999999</v>
      </c>
      <c r="F67" s="53">
        <f t="shared" si="3"/>
        <v>0</v>
      </c>
      <c r="G67" s="53">
        <f t="shared" si="4"/>
        <v>23.12</v>
      </c>
    </row>
    <row r="68" spans="1:7">
      <c r="A68" s="54">
        <v>43361</v>
      </c>
      <c r="D68" s="53">
        <v>20.6</v>
      </c>
      <c r="F68" s="53">
        <f t="shared" si="3"/>
        <v>0</v>
      </c>
      <c r="G68" s="53">
        <f t="shared" si="4"/>
        <v>19.279999999999998</v>
      </c>
    </row>
    <row r="69" spans="1:7">
      <c r="A69" s="54">
        <v>43362</v>
      </c>
      <c r="D69" s="53">
        <v>21.3</v>
      </c>
      <c r="F69" s="53">
        <f t="shared" si="3"/>
        <v>0</v>
      </c>
      <c r="G69" s="53">
        <f t="shared" si="4"/>
        <v>18.439999999999998</v>
      </c>
    </row>
    <row r="70" spans="1:7">
      <c r="A70" s="54">
        <v>43363</v>
      </c>
      <c r="D70" s="53">
        <v>21.6</v>
      </c>
      <c r="F70" s="53">
        <f t="shared" si="3"/>
        <v>0</v>
      </c>
      <c r="G70" s="53">
        <f t="shared" si="4"/>
        <v>18.079999999999998</v>
      </c>
    </row>
    <row r="71" spans="1:7">
      <c r="A71" s="54">
        <v>43364</v>
      </c>
      <c r="D71" s="53">
        <v>21</v>
      </c>
      <c r="F71" s="53">
        <f t="shared" si="3"/>
        <v>0</v>
      </c>
      <c r="G71" s="53">
        <f t="shared" si="4"/>
        <v>18.8</v>
      </c>
    </row>
    <row r="72" spans="1:7">
      <c r="A72" s="54">
        <v>43365</v>
      </c>
      <c r="D72" s="53">
        <v>14.3</v>
      </c>
      <c r="F72" s="53">
        <f t="shared" si="3"/>
        <v>1.4939999999999998</v>
      </c>
      <c r="G72" s="53">
        <f t="shared" si="4"/>
        <v>26.84</v>
      </c>
    </row>
    <row r="73" spans="1:7">
      <c r="A73" s="54">
        <v>43366</v>
      </c>
      <c r="D73" s="53">
        <v>13.600000000000001</v>
      </c>
      <c r="F73" s="53">
        <f t="shared" si="3"/>
        <v>1.8813333333333329</v>
      </c>
      <c r="G73" s="53">
        <f t="shared" si="4"/>
        <v>27.68</v>
      </c>
    </row>
    <row r="74" spans="1:7">
      <c r="A74" s="54">
        <v>43367</v>
      </c>
      <c r="D74" s="53">
        <v>9.6000000000000014</v>
      </c>
      <c r="F74" s="53">
        <f t="shared" si="3"/>
        <v>4.094666666666666</v>
      </c>
      <c r="G74" s="53">
        <f t="shared" si="4"/>
        <v>32.479999999999997</v>
      </c>
    </row>
    <row r="75" spans="1:7">
      <c r="A75" s="54">
        <v>43368</v>
      </c>
      <c r="D75" s="53">
        <v>7.8999999999999986</v>
      </c>
      <c r="F75" s="53">
        <f t="shared" si="3"/>
        <v>5.0353333333333348</v>
      </c>
      <c r="G75" s="53">
        <f t="shared" si="4"/>
        <v>34.520000000000003</v>
      </c>
    </row>
    <row r="76" spans="1:7">
      <c r="A76" s="54">
        <v>43369</v>
      </c>
      <c r="D76" s="53">
        <v>8.6999999999999993</v>
      </c>
      <c r="F76" s="53">
        <f t="shared" si="3"/>
        <v>4.592666666666668</v>
      </c>
      <c r="G76" s="53">
        <f t="shared" si="4"/>
        <v>33.56</v>
      </c>
    </row>
    <row r="77" spans="1:7">
      <c r="A77" s="54">
        <v>43370</v>
      </c>
      <c r="D77" s="53">
        <v>13.7</v>
      </c>
      <c r="F77" s="53">
        <f t="shared" si="3"/>
        <v>1.8260000000000005</v>
      </c>
      <c r="G77" s="53">
        <f t="shared" si="4"/>
        <v>27.560000000000002</v>
      </c>
    </row>
    <row r="78" spans="1:7">
      <c r="A78" s="54">
        <v>43371</v>
      </c>
      <c r="D78" s="53">
        <v>13</v>
      </c>
      <c r="F78" s="53">
        <f t="shared" si="3"/>
        <v>2.2133333333333334</v>
      </c>
      <c r="G78" s="53">
        <f t="shared" si="4"/>
        <v>28.4</v>
      </c>
    </row>
    <row r="79" spans="1:7">
      <c r="A79" s="54">
        <v>43372</v>
      </c>
      <c r="D79" s="53">
        <v>9</v>
      </c>
      <c r="F79" s="53">
        <f t="shared" si="3"/>
        <v>4.4266666666666667</v>
      </c>
      <c r="G79" s="53">
        <f t="shared" si="4"/>
        <v>33.200000000000003</v>
      </c>
    </row>
    <row r="80" spans="1:7">
      <c r="A80" s="54">
        <v>43373</v>
      </c>
      <c r="D80" s="53">
        <v>9.1999999999999993</v>
      </c>
      <c r="F80" s="53">
        <f t="shared" si="3"/>
        <v>4.3160000000000007</v>
      </c>
      <c r="G80" s="53">
        <f t="shared" si="4"/>
        <v>32.96</v>
      </c>
    </row>
    <row r="81" spans="1:7">
      <c r="A81" s="54">
        <v>43374</v>
      </c>
      <c r="D81" s="53">
        <v>6.8000000000000007</v>
      </c>
      <c r="F81" s="53">
        <f t="shared" si="3"/>
        <v>5.6440000000000001</v>
      </c>
      <c r="G81" s="53">
        <f t="shared" si="4"/>
        <v>35.839999999999996</v>
      </c>
    </row>
    <row r="82" spans="1:7">
      <c r="A82" s="54">
        <v>43375</v>
      </c>
      <c r="D82" s="53">
        <v>8.6999999999999993</v>
      </c>
      <c r="F82" s="53">
        <f t="shared" si="3"/>
        <v>4.592666666666668</v>
      </c>
      <c r="G82" s="53">
        <f t="shared" si="4"/>
        <v>33.56</v>
      </c>
    </row>
    <row r="83" spans="1:7">
      <c r="A83" s="54">
        <v>43376</v>
      </c>
      <c r="D83" s="53">
        <v>11.899999999999999</v>
      </c>
      <c r="F83" s="53">
        <f t="shared" ref="F83:F146" si="5">IF(F$2-D83&gt;0,(F$2-D83)*F$1/30,0)</f>
        <v>2.822000000000001</v>
      </c>
      <c r="G83" s="53">
        <f t="shared" ref="G83:G146" si="6">20+(20-D83)*1.2</f>
        <v>29.72</v>
      </c>
    </row>
    <row r="84" spans="1:7">
      <c r="A84" s="54">
        <v>43377</v>
      </c>
      <c r="D84" s="53">
        <v>10.600000000000001</v>
      </c>
      <c r="F84" s="53">
        <f t="shared" si="5"/>
        <v>3.5413333333333328</v>
      </c>
      <c r="G84" s="53">
        <f t="shared" si="6"/>
        <v>31.279999999999998</v>
      </c>
    </row>
    <row r="85" spans="1:7">
      <c r="A85" s="54">
        <v>43378</v>
      </c>
      <c r="D85" s="53">
        <v>10.600000000000001</v>
      </c>
      <c r="F85" s="53">
        <f t="shared" si="5"/>
        <v>3.5413333333333328</v>
      </c>
      <c r="G85" s="53">
        <f t="shared" si="6"/>
        <v>31.279999999999998</v>
      </c>
    </row>
    <row r="86" spans="1:7">
      <c r="A86" s="54">
        <v>43379</v>
      </c>
      <c r="D86" s="53">
        <v>12</v>
      </c>
      <c r="F86" s="53">
        <f t="shared" si="5"/>
        <v>2.7666666666666666</v>
      </c>
      <c r="G86" s="53">
        <f t="shared" si="6"/>
        <v>29.6</v>
      </c>
    </row>
    <row r="87" spans="1:7">
      <c r="A87" s="54">
        <v>43380</v>
      </c>
      <c r="D87" s="53">
        <v>12.8</v>
      </c>
      <c r="F87" s="53">
        <f t="shared" si="5"/>
        <v>2.3239999999999998</v>
      </c>
      <c r="G87" s="53">
        <f t="shared" si="6"/>
        <v>28.64</v>
      </c>
    </row>
    <row r="88" spans="1:7">
      <c r="A88" s="54">
        <v>43381</v>
      </c>
      <c r="D88" s="53">
        <v>11.100000000000001</v>
      </c>
      <c r="F88" s="53">
        <f t="shared" si="5"/>
        <v>3.2646666666666659</v>
      </c>
      <c r="G88" s="53">
        <f t="shared" si="6"/>
        <v>30.68</v>
      </c>
    </row>
    <row r="89" spans="1:7">
      <c r="A89" s="54">
        <v>43382</v>
      </c>
      <c r="D89" s="53">
        <v>10</v>
      </c>
      <c r="F89" s="53">
        <f t="shared" si="5"/>
        <v>3.873333333333334</v>
      </c>
      <c r="G89" s="53">
        <f t="shared" si="6"/>
        <v>32</v>
      </c>
    </row>
    <row r="90" spans="1:7">
      <c r="A90" s="54">
        <v>43383</v>
      </c>
      <c r="D90" s="53">
        <v>14.2</v>
      </c>
      <c r="F90" s="53">
        <f t="shared" si="5"/>
        <v>1.5493333333333339</v>
      </c>
      <c r="G90" s="53">
        <f t="shared" si="6"/>
        <v>26.96</v>
      </c>
    </row>
    <row r="91" spans="1:7">
      <c r="A91" s="54">
        <v>43384</v>
      </c>
      <c r="D91" s="53">
        <v>16.600000000000001</v>
      </c>
      <c r="F91" s="53">
        <f t="shared" si="5"/>
        <v>0.22133333333333255</v>
      </c>
      <c r="G91" s="53">
        <f t="shared" si="6"/>
        <v>24.08</v>
      </c>
    </row>
    <row r="92" spans="1:7">
      <c r="A92" s="54">
        <v>43385</v>
      </c>
      <c r="D92" s="53">
        <v>15.1</v>
      </c>
      <c r="F92" s="53">
        <f t="shared" si="5"/>
        <v>1.0513333333333337</v>
      </c>
      <c r="G92" s="53">
        <f t="shared" si="6"/>
        <v>25.88</v>
      </c>
    </row>
    <row r="93" spans="1:7">
      <c r="A93" s="54">
        <v>43386</v>
      </c>
      <c r="D93" s="53">
        <v>14.5</v>
      </c>
      <c r="F93" s="53">
        <f t="shared" si="5"/>
        <v>1.3833333333333333</v>
      </c>
      <c r="G93" s="53">
        <f t="shared" si="6"/>
        <v>26.6</v>
      </c>
    </row>
    <row r="94" spans="1:7">
      <c r="A94" s="54">
        <v>43387</v>
      </c>
      <c r="D94" s="53">
        <v>15.6</v>
      </c>
      <c r="F94" s="53">
        <f t="shared" si="5"/>
        <v>0.77466666666666695</v>
      </c>
      <c r="G94" s="53">
        <f t="shared" si="6"/>
        <v>25.28</v>
      </c>
    </row>
    <row r="95" spans="1:7">
      <c r="A95" s="54">
        <v>43388</v>
      </c>
      <c r="D95" s="53">
        <v>15.6</v>
      </c>
      <c r="F95" s="53">
        <f t="shared" si="5"/>
        <v>0.77466666666666695</v>
      </c>
      <c r="G95" s="53">
        <f t="shared" si="6"/>
        <v>25.28</v>
      </c>
    </row>
    <row r="96" spans="1:7">
      <c r="A96" s="54">
        <v>43389</v>
      </c>
      <c r="D96" s="53">
        <v>13</v>
      </c>
      <c r="F96" s="53">
        <f t="shared" si="5"/>
        <v>2.2133333333333334</v>
      </c>
      <c r="G96" s="53">
        <f t="shared" si="6"/>
        <v>28.4</v>
      </c>
    </row>
    <row r="97" spans="1:7">
      <c r="A97" s="54">
        <v>43390</v>
      </c>
      <c r="D97" s="53">
        <v>11.3</v>
      </c>
      <c r="F97" s="53">
        <f t="shared" si="5"/>
        <v>3.1539999999999995</v>
      </c>
      <c r="G97" s="53">
        <f t="shared" si="6"/>
        <v>30.439999999999998</v>
      </c>
    </row>
    <row r="98" spans="1:7">
      <c r="A98" s="54">
        <v>43391</v>
      </c>
      <c r="D98" s="53">
        <v>11.100000000000001</v>
      </c>
      <c r="F98" s="53">
        <f t="shared" si="5"/>
        <v>3.2646666666666659</v>
      </c>
      <c r="G98" s="53">
        <f t="shared" si="6"/>
        <v>30.68</v>
      </c>
    </row>
    <row r="99" spans="1:7">
      <c r="A99" s="54">
        <v>43392</v>
      </c>
      <c r="D99" s="53">
        <v>11.8</v>
      </c>
      <c r="F99" s="53">
        <f t="shared" si="5"/>
        <v>2.8773333333333331</v>
      </c>
      <c r="G99" s="53">
        <f t="shared" si="6"/>
        <v>29.839999999999996</v>
      </c>
    </row>
    <row r="100" spans="1:7">
      <c r="A100" s="54">
        <v>43393</v>
      </c>
      <c r="D100" s="53">
        <v>10.3</v>
      </c>
      <c r="F100" s="53">
        <f t="shared" si="5"/>
        <v>3.7073333333333331</v>
      </c>
      <c r="G100" s="53">
        <f t="shared" si="6"/>
        <v>31.64</v>
      </c>
    </row>
    <row r="101" spans="1:7">
      <c r="A101" s="54">
        <v>43394</v>
      </c>
      <c r="D101" s="53">
        <v>8.6000000000000014</v>
      </c>
      <c r="F101" s="53">
        <f t="shared" si="5"/>
        <v>4.6479999999999997</v>
      </c>
      <c r="G101" s="53">
        <f t="shared" si="6"/>
        <v>33.68</v>
      </c>
    </row>
    <row r="102" spans="1:7">
      <c r="A102" s="54">
        <v>43395</v>
      </c>
      <c r="D102" s="53">
        <v>7</v>
      </c>
      <c r="F102" s="53">
        <f t="shared" si="5"/>
        <v>5.5333333333333332</v>
      </c>
      <c r="G102" s="53">
        <f t="shared" si="6"/>
        <v>35.6</v>
      </c>
    </row>
    <row r="103" spans="1:7">
      <c r="A103" s="54">
        <v>43396</v>
      </c>
      <c r="D103" s="53">
        <v>7.8999999999999986</v>
      </c>
      <c r="F103" s="53">
        <f t="shared" si="5"/>
        <v>5.0353333333333348</v>
      </c>
      <c r="G103" s="53">
        <f t="shared" si="6"/>
        <v>34.520000000000003</v>
      </c>
    </row>
    <row r="104" spans="1:7">
      <c r="A104" s="54">
        <v>43397</v>
      </c>
      <c r="D104" s="53">
        <v>9.8000000000000007</v>
      </c>
      <c r="F104" s="53">
        <f t="shared" si="5"/>
        <v>3.984</v>
      </c>
      <c r="G104" s="53">
        <f t="shared" si="6"/>
        <v>32.239999999999995</v>
      </c>
    </row>
    <row r="105" spans="1:7">
      <c r="A105" s="54">
        <v>43398</v>
      </c>
      <c r="D105" s="53">
        <v>11.399999999999999</v>
      </c>
      <c r="F105" s="53">
        <f t="shared" si="5"/>
        <v>3.0986666666666678</v>
      </c>
      <c r="G105" s="53">
        <f t="shared" si="6"/>
        <v>30.32</v>
      </c>
    </row>
    <row r="106" spans="1:7">
      <c r="A106" s="54">
        <v>43399</v>
      </c>
      <c r="D106" s="53">
        <v>10.3</v>
      </c>
      <c r="F106" s="53">
        <f t="shared" si="5"/>
        <v>3.7073333333333331</v>
      </c>
      <c r="G106" s="53">
        <f t="shared" si="6"/>
        <v>31.64</v>
      </c>
    </row>
    <row r="107" spans="1:7">
      <c r="A107" s="54">
        <v>43400</v>
      </c>
      <c r="D107" s="53">
        <v>7.8999999999999986</v>
      </c>
      <c r="F107" s="53">
        <f t="shared" si="5"/>
        <v>5.0353333333333348</v>
      </c>
      <c r="G107" s="53">
        <f t="shared" si="6"/>
        <v>34.520000000000003</v>
      </c>
    </row>
    <row r="108" spans="1:7">
      <c r="A108" s="54">
        <v>43401</v>
      </c>
      <c r="D108" s="53">
        <v>2.6999999999999993</v>
      </c>
      <c r="F108" s="53">
        <f t="shared" si="5"/>
        <v>7.9126666666666674</v>
      </c>
      <c r="G108" s="53">
        <f t="shared" si="6"/>
        <v>40.760000000000005</v>
      </c>
    </row>
    <row r="109" spans="1:7">
      <c r="A109" s="54">
        <v>43402</v>
      </c>
      <c r="D109" s="53">
        <v>6</v>
      </c>
      <c r="F109" s="53">
        <f t="shared" si="5"/>
        <v>6.0866666666666678</v>
      </c>
      <c r="G109" s="53">
        <f t="shared" si="6"/>
        <v>36.799999999999997</v>
      </c>
    </row>
    <row r="110" spans="1:7">
      <c r="A110" s="54">
        <v>43403</v>
      </c>
      <c r="D110" s="53">
        <v>15.4</v>
      </c>
      <c r="F110" s="53">
        <f t="shared" si="5"/>
        <v>0.88533333333333319</v>
      </c>
      <c r="G110" s="53">
        <f t="shared" si="6"/>
        <v>25.52</v>
      </c>
    </row>
    <row r="111" spans="1:7">
      <c r="A111" s="54">
        <v>43404</v>
      </c>
      <c r="D111" s="53">
        <v>8.6000000000000014</v>
      </c>
      <c r="F111" s="53">
        <f t="shared" si="5"/>
        <v>4.6479999999999997</v>
      </c>
      <c r="G111" s="53">
        <f t="shared" si="6"/>
        <v>33.68</v>
      </c>
    </row>
    <row r="112" spans="1:7">
      <c r="A112" s="54">
        <v>43405</v>
      </c>
      <c r="D112" s="53">
        <v>9.1999999999999993</v>
      </c>
      <c r="F112" s="53">
        <f t="shared" si="5"/>
        <v>4.3160000000000007</v>
      </c>
      <c r="G112" s="53">
        <f t="shared" si="6"/>
        <v>32.96</v>
      </c>
    </row>
    <row r="113" spans="1:7">
      <c r="A113" s="54">
        <v>43406</v>
      </c>
      <c r="D113" s="53">
        <v>8</v>
      </c>
      <c r="F113" s="53">
        <f t="shared" si="5"/>
        <v>4.9800000000000004</v>
      </c>
      <c r="G113" s="53">
        <f t="shared" si="6"/>
        <v>34.4</v>
      </c>
    </row>
    <row r="114" spans="1:7">
      <c r="A114" s="54">
        <v>43407</v>
      </c>
      <c r="D114" s="53">
        <v>9</v>
      </c>
      <c r="F114" s="53">
        <f t="shared" si="5"/>
        <v>4.4266666666666667</v>
      </c>
      <c r="G114" s="53">
        <f t="shared" si="6"/>
        <v>33.200000000000003</v>
      </c>
    </row>
    <row r="115" spans="1:7">
      <c r="A115" s="54">
        <v>43408</v>
      </c>
      <c r="D115" s="53">
        <v>10.899999999999999</v>
      </c>
      <c r="F115" s="53">
        <f t="shared" si="5"/>
        <v>3.3753333333333346</v>
      </c>
      <c r="G115" s="53">
        <f t="shared" si="6"/>
        <v>30.92</v>
      </c>
    </row>
    <row r="116" spans="1:7">
      <c r="A116" s="54">
        <v>43409</v>
      </c>
      <c r="D116" s="53">
        <v>10.8</v>
      </c>
      <c r="F116" s="53">
        <f t="shared" si="5"/>
        <v>3.4306666666666668</v>
      </c>
      <c r="G116" s="53">
        <f t="shared" si="6"/>
        <v>31.04</v>
      </c>
    </row>
    <row r="117" spans="1:7">
      <c r="A117" s="54">
        <v>43410</v>
      </c>
      <c r="D117" s="53">
        <v>10.899999999999999</v>
      </c>
      <c r="F117" s="53">
        <f t="shared" si="5"/>
        <v>3.3753333333333346</v>
      </c>
      <c r="G117" s="53">
        <f t="shared" si="6"/>
        <v>30.92</v>
      </c>
    </row>
    <row r="118" spans="1:7">
      <c r="A118" s="54">
        <v>43411</v>
      </c>
      <c r="D118" s="53">
        <v>9.3999999999999986</v>
      </c>
      <c r="F118" s="53">
        <f t="shared" si="5"/>
        <v>4.2053333333333347</v>
      </c>
      <c r="G118" s="53">
        <f t="shared" si="6"/>
        <v>32.72</v>
      </c>
    </row>
    <row r="119" spans="1:7">
      <c r="A119" s="54">
        <v>43412</v>
      </c>
      <c r="D119" s="53">
        <v>10.100000000000001</v>
      </c>
      <c r="F119" s="53">
        <f t="shared" si="5"/>
        <v>3.8179999999999996</v>
      </c>
      <c r="G119" s="53">
        <f t="shared" si="6"/>
        <v>31.879999999999995</v>
      </c>
    </row>
    <row r="120" spans="1:7">
      <c r="A120" s="54">
        <v>43413</v>
      </c>
      <c r="D120" s="53">
        <v>8.3000000000000007</v>
      </c>
      <c r="F120" s="53">
        <f t="shared" si="5"/>
        <v>4.8139999999999992</v>
      </c>
      <c r="G120" s="53">
        <f t="shared" si="6"/>
        <v>34.04</v>
      </c>
    </row>
    <row r="121" spans="1:7">
      <c r="A121" s="54">
        <v>43414</v>
      </c>
      <c r="D121" s="53">
        <v>9</v>
      </c>
      <c r="F121" s="53">
        <f t="shared" si="5"/>
        <v>4.4266666666666667</v>
      </c>
      <c r="G121" s="53">
        <f t="shared" si="6"/>
        <v>33.200000000000003</v>
      </c>
    </row>
    <row r="122" spans="1:7">
      <c r="A122" s="54">
        <v>43415</v>
      </c>
      <c r="D122" s="53">
        <v>8.8999999999999986</v>
      </c>
      <c r="F122" s="53">
        <f t="shared" si="5"/>
        <v>4.4820000000000011</v>
      </c>
      <c r="G122" s="53">
        <f t="shared" si="6"/>
        <v>33.32</v>
      </c>
    </row>
    <row r="123" spans="1:7">
      <c r="A123" s="54">
        <v>43416</v>
      </c>
      <c r="D123" s="53">
        <v>7.6999999999999993</v>
      </c>
      <c r="F123" s="53">
        <f t="shared" si="5"/>
        <v>5.1460000000000008</v>
      </c>
      <c r="G123" s="53">
        <f t="shared" si="6"/>
        <v>34.76</v>
      </c>
    </row>
    <row r="124" spans="1:7">
      <c r="A124" s="54">
        <v>43417</v>
      </c>
      <c r="D124" s="53">
        <v>8.6000000000000014</v>
      </c>
      <c r="F124" s="53">
        <f t="shared" si="5"/>
        <v>4.6479999999999997</v>
      </c>
      <c r="G124" s="53">
        <f t="shared" si="6"/>
        <v>33.68</v>
      </c>
    </row>
    <row r="125" spans="1:7">
      <c r="A125" s="54">
        <v>43418</v>
      </c>
      <c r="D125" s="53">
        <v>6.1999999999999993</v>
      </c>
      <c r="F125" s="53">
        <f t="shared" si="5"/>
        <v>5.9760000000000009</v>
      </c>
      <c r="G125" s="53">
        <f t="shared" si="6"/>
        <v>36.56</v>
      </c>
    </row>
    <row r="126" spans="1:7">
      <c r="A126" s="54">
        <v>43419</v>
      </c>
      <c r="D126" s="53">
        <v>3.6000000000000014</v>
      </c>
      <c r="F126" s="53">
        <f t="shared" si="5"/>
        <v>7.4146666666666663</v>
      </c>
      <c r="G126" s="53">
        <f t="shared" si="6"/>
        <v>39.679999999999993</v>
      </c>
    </row>
    <row r="127" spans="1:7">
      <c r="A127" s="54">
        <v>43420</v>
      </c>
      <c r="D127" s="53">
        <v>0.60000000000000142</v>
      </c>
      <c r="F127" s="53">
        <f t="shared" si="5"/>
        <v>9.0746666666666673</v>
      </c>
      <c r="G127" s="53">
        <f t="shared" si="6"/>
        <v>43.28</v>
      </c>
    </row>
    <row r="128" spans="1:7">
      <c r="A128" s="54">
        <v>43421</v>
      </c>
      <c r="D128" s="53">
        <v>1.3999999999999986</v>
      </c>
      <c r="F128" s="53">
        <f t="shared" si="5"/>
        <v>8.6320000000000014</v>
      </c>
      <c r="G128" s="53">
        <f t="shared" si="6"/>
        <v>42.32</v>
      </c>
    </row>
    <row r="129" spans="1:7">
      <c r="A129" s="54">
        <v>43422</v>
      </c>
      <c r="D129" s="53">
        <v>-0.30000000000000071</v>
      </c>
      <c r="F129" s="53">
        <f t="shared" si="5"/>
        <v>9.5726666666666684</v>
      </c>
      <c r="G129" s="53">
        <f t="shared" si="6"/>
        <v>44.36</v>
      </c>
    </row>
    <row r="130" spans="1:7">
      <c r="A130" s="54">
        <v>43423</v>
      </c>
      <c r="D130" s="53">
        <v>0.10000000000000142</v>
      </c>
      <c r="F130" s="53">
        <f t="shared" si="5"/>
        <v>9.3513333333333346</v>
      </c>
      <c r="G130" s="53">
        <f t="shared" si="6"/>
        <v>43.879999999999995</v>
      </c>
    </row>
    <row r="131" spans="1:7">
      <c r="A131" s="54">
        <v>43424</v>
      </c>
      <c r="D131" s="53">
        <v>0.19999999999999929</v>
      </c>
      <c r="F131" s="53">
        <f t="shared" si="5"/>
        <v>9.2960000000000012</v>
      </c>
      <c r="G131" s="53">
        <f t="shared" si="6"/>
        <v>43.760000000000005</v>
      </c>
    </row>
    <row r="132" spans="1:7">
      <c r="A132" s="54">
        <v>43425</v>
      </c>
      <c r="D132" s="53">
        <v>1.1000000000000014</v>
      </c>
      <c r="F132" s="53">
        <f t="shared" si="5"/>
        <v>8.798</v>
      </c>
      <c r="G132" s="53">
        <f t="shared" si="6"/>
        <v>42.679999999999993</v>
      </c>
    </row>
    <row r="133" spans="1:7">
      <c r="A133" s="54">
        <v>43426</v>
      </c>
      <c r="D133" s="53">
        <v>1.8999999999999986</v>
      </c>
      <c r="F133" s="53">
        <f t="shared" si="5"/>
        <v>8.3553333333333359</v>
      </c>
      <c r="G133" s="53">
        <f t="shared" si="6"/>
        <v>41.72</v>
      </c>
    </row>
    <row r="134" spans="1:7">
      <c r="A134" s="54">
        <v>43427</v>
      </c>
      <c r="D134" s="53">
        <v>3.8999999999999986</v>
      </c>
      <c r="F134" s="53">
        <f t="shared" si="5"/>
        <v>7.2486666666666677</v>
      </c>
      <c r="G134" s="53">
        <f t="shared" si="6"/>
        <v>39.32</v>
      </c>
    </row>
    <row r="135" spans="1:7">
      <c r="A135" s="54">
        <v>43428</v>
      </c>
      <c r="D135" s="53">
        <v>5.1999999999999993</v>
      </c>
      <c r="F135" s="53">
        <f t="shared" si="5"/>
        <v>6.5293333333333345</v>
      </c>
      <c r="G135" s="53">
        <f t="shared" si="6"/>
        <v>37.760000000000005</v>
      </c>
    </row>
    <row r="136" spans="1:7">
      <c r="A136" s="54">
        <v>43429</v>
      </c>
      <c r="D136" s="53">
        <v>3.3000000000000007</v>
      </c>
      <c r="F136" s="53">
        <f t="shared" si="5"/>
        <v>7.5806666666666676</v>
      </c>
      <c r="G136" s="53">
        <f t="shared" si="6"/>
        <v>40.04</v>
      </c>
    </row>
    <row r="137" spans="1:7">
      <c r="A137" s="54">
        <v>43430</v>
      </c>
      <c r="D137" s="53">
        <v>2.8000000000000007</v>
      </c>
      <c r="F137" s="53">
        <f t="shared" si="5"/>
        <v>7.8573333333333331</v>
      </c>
      <c r="G137" s="53">
        <f t="shared" si="6"/>
        <v>40.64</v>
      </c>
    </row>
    <row r="138" spans="1:7">
      <c r="A138" s="54">
        <v>43431</v>
      </c>
      <c r="D138" s="53">
        <v>-1.6000000000000014</v>
      </c>
      <c r="F138" s="53">
        <f t="shared" si="5"/>
        <v>10.292000000000002</v>
      </c>
      <c r="G138" s="53">
        <f t="shared" si="6"/>
        <v>45.92</v>
      </c>
    </row>
    <row r="139" spans="1:7">
      <c r="A139" s="54">
        <v>43432</v>
      </c>
      <c r="D139" s="53">
        <v>-3.7999999999999972</v>
      </c>
      <c r="F139" s="53">
        <f t="shared" si="5"/>
        <v>11.509333333333332</v>
      </c>
      <c r="G139" s="53">
        <f t="shared" si="6"/>
        <v>48.559999999999995</v>
      </c>
    </row>
    <row r="140" spans="1:7">
      <c r="A140" s="54">
        <v>43433</v>
      </c>
      <c r="D140" s="53">
        <v>-3.6000000000000014</v>
      </c>
      <c r="F140" s="53">
        <f t="shared" si="5"/>
        <v>11.398666666666667</v>
      </c>
      <c r="G140" s="53">
        <f t="shared" si="6"/>
        <v>48.32</v>
      </c>
    </row>
    <row r="141" spans="1:7">
      <c r="A141" s="54">
        <v>43434</v>
      </c>
      <c r="D141" s="53">
        <v>-2.2999999999999972</v>
      </c>
      <c r="F141" s="53">
        <f t="shared" si="5"/>
        <v>10.679333333333334</v>
      </c>
      <c r="G141" s="53">
        <f t="shared" si="6"/>
        <v>46.759999999999991</v>
      </c>
    </row>
    <row r="142" spans="1:7">
      <c r="A142" s="54">
        <v>43435</v>
      </c>
      <c r="D142" s="53">
        <v>-1.6999999999999993</v>
      </c>
      <c r="F142" s="53">
        <f t="shared" si="5"/>
        <v>10.347333333333333</v>
      </c>
      <c r="G142" s="53">
        <f t="shared" si="6"/>
        <v>46.04</v>
      </c>
    </row>
    <row r="143" spans="1:7">
      <c r="A143" s="54">
        <v>43436</v>
      </c>
      <c r="D143" s="53">
        <v>0.80000000000000071</v>
      </c>
      <c r="F143" s="53">
        <f t="shared" si="5"/>
        <v>8.9640000000000004</v>
      </c>
      <c r="G143" s="53">
        <f t="shared" si="6"/>
        <v>43.04</v>
      </c>
    </row>
    <row r="144" spans="1:7">
      <c r="A144" s="54">
        <v>43437</v>
      </c>
      <c r="D144" s="53">
        <v>8.3999999999999986</v>
      </c>
      <c r="F144" s="53">
        <f t="shared" si="5"/>
        <v>4.7586666666666684</v>
      </c>
      <c r="G144" s="53">
        <f t="shared" si="6"/>
        <v>33.92</v>
      </c>
    </row>
    <row r="145" spans="1:7">
      <c r="A145" s="54">
        <v>43438</v>
      </c>
      <c r="D145" s="53">
        <v>6.3999999999999986</v>
      </c>
      <c r="F145" s="53">
        <f t="shared" si="5"/>
        <v>5.8653333333333348</v>
      </c>
      <c r="G145" s="53">
        <f t="shared" si="6"/>
        <v>36.32</v>
      </c>
    </row>
    <row r="146" spans="1:7">
      <c r="A146" s="54">
        <v>43439</v>
      </c>
      <c r="D146" s="53">
        <v>0.60000000000000142</v>
      </c>
      <c r="F146" s="53">
        <f t="shared" si="5"/>
        <v>9.0746666666666673</v>
      </c>
      <c r="G146" s="53">
        <f t="shared" si="6"/>
        <v>43.28</v>
      </c>
    </row>
    <row r="147" spans="1:7">
      <c r="A147" s="54">
        <v>43440</v>
      </c>
      <c r="D147" s="53">
        <v>1</v>
      </c>
      <c r="F147" s="53">
        <f t="shared" ref="F147:F210" si="7">IF(F$2-D147&gt;0,(F$2-D147)*F$1/30,0)</f>
        <v>8.8533333333333335</v>
      </c>
      <c r="G147" s="53">
        <f t="shared" ref="G147:G210" si="8">20+(20-D147)*1.2</f>
        <v>42.8</v>
      </c>
    </row>
    <row r="148" spans="1:7">
      <c r="A148" s="54">
        <v>43441</v>
      </c>
      <c r="D148" s="53">
        <v>8.8000000000000007</v>
      </c>
      <c r="F148" s="53">
        <f t="shared" si="7"/>
        <v>4.5373333333333337</v>
      </c>
      <c r="G148" s="53">
        <f t="shared" si="8"/>
        <v>33.44</v>
      </c>
    </row>
    <row r="149" spans="1:7">
      <c r="A149" s="54">
        <v>43442</v>
      </c>
      <c r="D149" s="53">
        <v>6.8000000000000007</v>
      </c>
      <c r="F149" s="53">
        <f t="shared" si="7"/>
        <v>5.6440000000000001</v>
      </c>
      <c r="G149" s="53">
        <f t="shared" si="8"/>
        <v>35.839999999999996</v>
      </c>
    </row>
    <row r="150" spans="1:7">
      <c r="A150" s="54">
        <v>43443</v>
      </c>
      <c r="D150" s="53">
        <v>7.3999999999999986</v>
      </c>
      <c r="F150" s="53">
        <f t="shared" si="7"/>
        <v>5.3120000000000012</v>
      </c>
      <c r="G150" s="53">
        <f t="shared" si="8"/>
        <v>35.120000000000005</v>
      </c>
    </row>
    <row r="151" spans="1:7">
      <c r="A151" s="54">
        <v>43444</v>
      </c>
      <c r="D151" s="53">
        <v>3.6999999999999993</v>
      </c>
      <c r="F151" s="53">
        <f t="shared" si="7"/>
        <v>7.3593333333333346</v>
      </c>
      <c r="G151" s="53">
        <f t="shared" si="8"/>
        <v>39.56</v>
      </c>
    </row>
    <row r="152" spans="1:7">
      <c r="A152" s="54">
        <v>43445</v>
      </c>
      <c r="D152" s="53">
        <v>2.3000000000000007</v>
      </c>
      <c r="F152" s="53">
        <f t="shared" si="7"/>
        <v>8.1340000000000003</v>
      </c>
      <c r="G152" s="53">
        <f t="shared" si="8"/>
        <v>41.239999999999995</v>
      </c>
    </row>
    <row r="153" spans="1:7">
      <c r="A153" s="54">
        <v>43446</v>
      </c>
      <c r="D153" s="53">
        <v>1.1000000000000014</v>
      </c>
      <c r="F153" s="53">
        <f t="shared" si="7"/>
        <v>8.798</v>
      </c>
      <c r="G153" s="53">
        <f t="shared" si="8"/>
        <v>42.679999999999993</v>
      </c>
    </row>
    <row r="154" spans="1:7">
      <c r="A154" s="54">
        <v>43447</v>
      </c>
      <c r="D154" s="53">
        <v>-2.5</v>
      </c>
      <c r="F154" s="53">
        <f t="shared" si="7"/>
        <v>10.790000000000001</v>
      </c>
      <c r="G154" s="53">
        <f t="shared" si="8"/>
        <v>47</v>
      </c>
    </row>
    <row r="155" spans="1:7">
      <c r="A155" s="54">
        <v>43448</v>
      </c>
      <c r="D155" s="53">
        <v>-2.5</v>
      </c>
      <c r="F155" s="53">
        <f t="shared" si="7"/>
        <v>10.790000000000001</v>
      </c>
      <c r="G155" s="53">
        <f t="shared" si="8"/>
        <v>47</v>
      </c>
    </row>
    <row r="156" spans="1:7">
      <c r="A156" s="54">
        <v>43449</v>
      </c>
      <c r="D156" s="53">
        <v>-1.6000000000000014</v>
      </c>
      <c r="F156" s="53">
        <f t="shared" si="7"/>
        <v>10.292000000000002</v>
      </c>
      <c r="G156" s="53">
        <f t="shared" si="8"/>
        <v>45.92</v>
      </c>
    </row>
    <row r="157" spans="1:7">
      <c r="A157" s="54">
        <v>43450</v>
      </c>
      <c r="D157" s="53">
        <v>-2.5</v>
      </c>
      <c r="F157" s="53">
        <f t="shared" si="7"/>
        <v>10.790000000000001</v>
      </c>
      <c r="G157" s="53">
        <f t="shared" si="8"/>
        <v>47</v>
      </c>
    </row>
    <row r="158" spans="1:7">
      <c r="A158" s="54">
        <v>43451</v>
      </c>
      <c r="D158" s="53">
        <v>0.80000000000000071</v>
      </c>
      <c r="F158" s="53">
        <f t="shared" si="7"/>
        <v>8.9640000000000004</v>
      </c>
      <c r="G158" s="53">
        <f t="shared" si="8"/>
        <v>43.04</v>
      </c>
    </row>
    <row r="159" spans="1:7">
      <c r="A159" s="54">
        <v>43452</v>
      </c>
      <c r="D159" s="53">
        <v>1.6000000000000014</v>
      </c>
      <c r="F159" s="53">
        <f t="shared" si="7"/>
        <v>8.5213333333333328</v>
      </c>
      <c r="G159" s="53">
        <f t="shared" si="8"/>
        <v>42.08</v>
      </c>
    </row>
    <row r="160" spans="1:7">
      <c r="A160" s="54">
        <v>43453</v>
      </c>
      <c r="D160" s="53">
        <v>0.10000000000000142</v>
      </c>
      <c r="F160" s="53">
        <f t="shared" si="7"/>
        <v>9.3513333333333346</v>
      </c>
      <c r="G160" s="53">
        <f t="shared" si="8"/>
        <v>43.879999999999995</v>
      </c>
    </row>
    <row r="161" spans="1:7">
      <c r="A161" s="54">
        <v>43454</v>
      </c>
      <c r="D161" s="53">
        <v>0.80000000000000071</v>
      </c>
      <c r="F161" s="53">
        <f t="shared" si="7"/>
        <v>8.9640000000000004</v>
      </c>
      <c r="G161" s="53">
        <f t="shared" si="8"/>
        <v>43.04</v>
      </c>
    </row>
    <row r="162" spans="1:7">
      <c r="A162" s="54">
        <v>43455</v>
      </c>
      <c r="D162" s="53">
        <v>5.8999999999999986</v>
      </c>
      <c r="F162" s="53">
        <f t="shared" si="7"/>
        <v>6.1420000000000012</v>
      </c>
      <c r="G162" s="53">
        <f t="shared" si="8"/>
        <v>36.92</v>
      </c>
    </row>
    <row r="163" spans="1:7">
      <c r="A163" s="54">
        <v>43456</v>
      </c>
      <c r="D163" s="53">
        <v>9.3000000000000007</v>
      </c>
      <c r="F163" s="53">
        <f t="shared" si="7"/>
        <v>4.2606666666666664</v>
      </c>
      <c r="G163" s="53">
        <f t="shared" si="8"/>
        <v>32.839999999999996</v>
      </c>
    </row>
    <row r="164" spans="1:7">
      <c r="A164" s="54">
        <v>43457</v>
      </c>
      <c r="D164" s="53">
        <v>6.6000000000000014</v>
      </c>
      <c r="F164" s="53">
        <f t="shared" si="7"/>
        <v>5.7546666666666662</v>
      </c>
      <c r="G164" s="53">
        <f t="shared" si="8"/>
        <v>36.08</v>
      </c>
    </row>
    <row r="165" spans="1:7">
      <c r="A165" s="54">
        <v>43458</v>
      </c>
      <c r="D165" s="53">
        <v>2.3000000000000007</v>
      </c>
      <c r="F165" s="53">
        <f t="shared" si="7"/>
        <v>8.1340000000000003</v>
      </c>
      <c r="G165" s="53">
        <f t="shared" si="8"/>
        <v>41.239999999999995</v>
      </c>
    </row>
    <row r="166" spans="1:7">
      <c r="A166" s="54">
        <v>43459</v>
      </c>
      <c r="D166" s="53">
        <v>2.8999999999999986</v>
      </c>
      <c r="F166" s="53">
        <f t="shared" si="7"/>
        <v>7.8020000000000014</v>
      </c>
      <c r="G166" s="53">
        <f t="shared" si="8"/>
        <v>40.519999999999996</v>
      </c>
    </row>
    <row r="167" spans="1:7">
      <c r="A167" s="54">
        <v>43460</v>
      </c>
      <c r="D167" s="53">
        <v>3.1999999999999993</v>
      </c>
      <c r="F167" s="53">
        <f t="shared" si="7"/>
        <v>7.636000000000001</v>
      </c>
      <c r="G167" s="53">
        <f t="shared" si="8"/>
        <v>40.159999999999997</v>
      </c>
    </row>
    <row r="168" spans="1:7">
      <c r="A168" s="54">
        <v>43461</v>
      </c>
      <c r="D168" s="53">
        <v>4.8000000000000007</v>
      </c>
      <c r="F168" s="53">
        <f t="shared" si="7"/>
        <v>6.7506666666666666</v>
      </c>
      <c r="G168" s="53">
        <f t="shared" si="8"/>
        <v>38.239999999999995</v>
      </c>
    </row>
    <row r="169" spans="1:7">
      <c r="A169" s="54">
        <v>43462</v>
      </c>
      <c r="D169" s="53">
        <v>4.3999999999999986</v>
      </c>
      <c r="F169" s="53">
        <f t="shared" si="7"/>
        <v>6.9720000000000022</v>
      </c>
      <c r="G169" s="53">
        <f t="shared" si="8"/>
        <v>38.72</v>
      </c>
    </row>
    <row r="170" spans="1:7">
      <c r="A170" s="54">
        <v>43463</v>
      </c>
      <c r="D170" s="53">
        <v>3.8000000000000007</v>
      </c>
      <c r="F170" s="53">
        <f t="shared" si="7"/>
        <v>7.3040000000000003</v>
      </c>
      <c r="G170" s="53">
        <f t="shared" si="8"/>
        <v>39.44</v>
      </c>
    </row>
    <row r="171" spans="1:7">
      <c r="A171" s="54">
        <v>43464</v>
      </c>
      <c r="D171" s="53">
        <v>4.8000000000000007</v>
      </c>
      <c r="F171" s="53">
        <f t="shared" si="7"/>
        <v>6.7506666666666666</v>
      </c>
      <c r="G171" s="53">
        <f t="shared" si="8"/>
        <v>38.239999999999995</v>
      </c>
    </row>
    <row r="172" spans="1:7">
      <c r="A172" s="54">
        <v>43465</v>
      </c>
      <c r="D172" s="53">
        <v>4.6000000000000014</v>
      </c>
      <c r="F172" s="53">
        <f t="shared" si="7"/>
        <v>6.8613333333333335</v>
      </c>
      <c r="G172" s="53">
        <f t="shared" si="8"/>
        <v>38.479999999999997</v>
      </c>
    </row>
    <row r="173" spans="1:7">
      <c r="A173" s="54">
        <v>43466</v>
      </c>
      <c r="D173" s="53">
        <v>6</v>
      </c>
      <c r="F173" s="53">
        <f t="shared" si="7"/>
        <v>6.0866666666666678</v>
      </c>
      <c r="G173" s="53">
        <f t="shared" si="8"/>
        <v>36.799999999999997</v>
      </c>
    </row>
    <row r="174" spans="1:7">
      <c r="A174" s="54">
        <v>43467</v>
      </c>
      <c r="D174" s="53">
        <v>0.60000000000000142</v>
      </c>
      <c r="F174" s="53">
        <f t="shared" si="7"/>
        <v>9.0746666666666673</v>
      </c>
      <c r="G174" s="53">
        <f t="shared" si="8"/>
        <v>43.28</v>
      </c>
    </row>
    <row r="175" spans="1:7">
      <c r="A175" s="54">
        <v>43468</v>
      </c>
      <c r="D175" s="53">
        <v>-2.2000000000000028</v>
      </c>
      <c r="F175" s="53">
        <f t="shared" si="7"/>
        <v>10.624000000000002</v>
      </c>
      <c r="G175" s="53">
        <f t="shared" si="8"/>
        <v>46.64</v>
      </c>
    </row>
    <row r="176" spans="1:7">
      <c r="A176" s="54">
        <v>43469</v>
      </c>
      <c r="D176" s="53">
        <v>-1.3999999999999986</v>
      </c>
      <c r="F176" s="53">
        <f t="shared" si="7"/>
        <v>10.181333333333333</v>
      </c>
      <c r="G176" s="53">
        <f t="shared" si="8"/>
        <v>45.679999999999993</v>
      </c>
    </row>
    <row r="177" spans="1:7">
      <c r="A177" s="54">
        <v>43470</v>
      </c>
      <c r="D177" s="53">
        <v>4.3000000000000007</v>
      </c>
      <c r="F177" s="53">
        <f t="shared" si="7"/>
        <v>7.027333333333333</v>
      </c>
      <c r="G177" s="53">
        <f t="shared" si="8"/>
        <v>38.840000000000003</v>
      </c>
    </row>
    <row r="178" spans="1:7">
      <c r="A178" s="54">
        <v>43471</v>
      </c>
      <c r="D178" s="53">
        <v>0.89999999999999858</v>
      </c>
      <c r="F178" s="53">
        <f t="shared" si="7"/>
        <v>8.9086666666666687</v>
      </c>
      <c r="G178" s="53">
        <f t="shared" si="8"/>
        <v>42.92</v>
      </c>
    </row>
    <row r="179" spans="1:7">
      <c r="A179" s="54">
        <v>43472</v>
      </c>
      <c r="D179" s="53">
        <v>1</v>
      </c>
      <c r="F179" s="53">
        <f t="shared" si="7"/>
        <v>8.8533333333333335</v>
      </c>
      <c r="G179" s="53">
        <f t="shared" si="8"/>
        <v>42.8</v>
      </c>
    </row>
    <row r="180" spans="1:7">
      <c r="A180" s="54">
        <v>43473</v>
      </c>
      <c r="D180" s="53">
        <v>3.6000000000000014</v>
      </c>
      <c r="F180" s="53">
        <f t="shared" si="7"/>
        <v>7.4146666666666663</v>
      </c>
      <c r="G180" s="53">
        <f t="shared" si="8"/>
        <v>39.679999999999993</v>
      </c>
    </row>
    <row r="181" spans="1:7">
      <c r="A181" s="54">
        <v>43474</v>
      </c>
      <c r="D181" s="53">
        <v>1.1000000000000014</v>
      </c>
      <c r="F181" s="53">
        <f t="shared" si="7"/>
        <v>8.798</v>
      </c>
      <c r="G181" s="53">
        <f t="shared" si="8"/>
        <v>42.679999999999993</v>
      </c>
    </row>
    <row r="182" spans="1:7">
      <c r="A182" s="54">
        <v>43475</v>
      </c>
      <c r="D182" s="53">
        <v>0.19999999999999929</v>
      </c>
      <c r="F182" s="53">
        <f t="shared" si="7"/>
        <v>9.2960000000000012</v>
      </c>
      <c r="G182" s="53">
        <f t="shared" si="8"/>
        <v>43.760000000000005</v>
      </c>
    </row>
    <row r="183" spans="1:7">
      <c r="A183" s="54">
        <v>43476</v>
      </c>
      <c r="D183" s="53">
        <v>-2.5</v>
      </c>
      <c r="F183" s="53">
        <f t="shared" si="7"/>
        <v>10.790000000000001</v>
      </c>
      <c r="G183" s="53">
        <f t="shared" si="8"/>
        <v>47</v>
      </c>
    </row>
    <row r="184" spans="1:7">
      <c r="A184" s="54">
        <v>43477</v>
      </c>
      <c r="D184" s="53">
        <v>2.5</v>
      </c>
      <c r="F184" s="53">
        <f t="shared" si="7"/>
        <v>8.0233333333333334</v>
      </c>
      <c r="G184" s="53">
        <f t="shared" si="8"/>
        <v>41</v>
      </c>
    </row>
    <row r="185" spans="1:7">
      <c r="A185" s="54">
        <v>43478</v>
      </c>
      <c r="D185" s="53">
        <v>4.3000000000000007</v>
      </c>
      <c r="F185" s="53">
        <f t="shared" si="7"/>
        <v>7.027333333333333</v>
      </c>
      <c r="G185" s="53">
        <f t="shared" si="8"/>
        <v>38.840000000000003</v>
      </c>
    </row>
    <row r="186" spans="1:7">
      <c r="A186" s="54">
        <v>43479</v>
      </c>
      <c r="D186" s="53">
        <v>2.1999999999999993</v>
      </c>
      <c r="F186" s="53">
        <f t="shared" si="7"/>
        <v>8.1893333333333338</v>
      </c>
      <c r="G186" s="53">
        <f t="shared" si="8"/>
        <v>41.36</v>
      </c>
    </row>
    <row r="187" spans="1:7">
      <c r="A187" s="54">
        <v>43480</v>
      </c>
      <c r="D187" s="53">
        <v>2.1999999999999993</v>
      </c>
      <c r="F187" s="53">
        <f t="shared" si="7"/>
        <v>8.1893333333333338</v>
      </c>
      <c r="G187" s="53">
        <f t="shared" si="8"/>
        <v>41.36</v>
      </c>
    </row>
    <row r="188" spans="1:7">
      <c r="A188" s="54">
        <v>43481</v>
      </c>
      <c r="D188" s="53">
        <v>4.1000000000000014</v>
      </c>
      <c r="F188" s="53">
        <f t="shared" si="7"/>
        <v>7.1379999999999999</v>
      </c>
      <c r="G188" s="53">
        <f t="shared" si="8"/>
        <v>39.08</v>
      </c>
    </row>
    <row r="189" spans="1:7">
      <c r="A189" s="54">
        <v>43482</v>
      </c>
      <c r="D189" s="53">
        <v>5.3999999999999986</v>
      </c>
      <c r="F189" s="53">
        <f t="shared" si="7"/>
        <v>6.4186666666666676</v>
      </c>
      <c r="G189" s="53">
        <f t="shared" si="8"/>
        <v>37.519999999999996</v>
      </c>
    </row>
    <row r="190" spans="1:7">
      <c r="A190" s="54">
        <v>43483</v>
      </c>
      <c r="D190" s="53">
        <v>-0.89999999999999858</v>
      </c>
      <c r="F190" s="53">
        <f t="shared" si="7"/>
        <v>9.9046666666666656</v>
      </c>
      <c r="G190" s="53">
        <f t="shared" si="8"/>
        <v>45.08</v>
      </c>
    </row>
    <row r="191" spans="1:7">
      <c r="A191" s="54">
        <v>43484</v>
      </c>
      <c r="D191" s="53">
        <v>-4.7000000000000028</v>
      </c>
      <c r="F191" s="53">
        <f t="shared" si="7"/>
        <v>12.007333333333337</v>
      </c>
      <c r="G191" s="53">
        <f t="shared" si="8"/>
        <v>49.64</v>
      </c>
    </row>
    <row r="192" spans="1:7">
      <c r="A192" s="54">
        <v>43485</v>
      </c>
      <c r="D192" s="53">
        <v>-3.2000000000000028</v>
      </c>
      <c r="F192" s="53">
        <f t="shared" si="7"/>
        <v>11.177333333333335</v>
      </c>
      <c r="G192" s="53">
        <f t="shared" si="8"/>
        <v>47.84</v>
      </c>
    </row>
    <row r="193" spans="1:7">
      <c r="A193" s="54">
        <v>43486</v>
      </c>
      <c r="D193" s="53">
        <v>-5.2000000000000028</v>
      </c>
      <c r="F193" s="53">
        <f t="shared" si="7"/>
        <v>12.284000000000002</v>
      </c>
      <c r="G193" s="53">
        <f t="shared" si="8"/>
        <v>50.24</v>
      </c>
    </row>
    <row r="194" spans="1:7">
      <c r="A194" s="54">
        <v>43487</v>
      </c>
      <c r="D194" s="53">
        <v>-5.6000000000000014</v>
      </c>
      <c r="F194" s="53">
        <f t="shared" si="7"/>
        <v>12.505333333333336</v>
      </c>
      <c r="G194" s="53">
        <f t="shared" si="8"/>
        <v>50.72</v>
      </c>
    </row>
    <row r="195" spans="1:7">
      <c r="A195" s="54">
        <v>43488</v>
      </c>
      <c r="D195" s="53">
        <v>-6.3999999999999986</v>
      </c>
      <c r="F195" s="53">
        <f t="shared" si="7"/>
        <v>12.948</v>
      </c>
      <c r="G195" s="53">
        <f t="shared" si="8"/>
        <v>51.679999999999993</v>
      </c>
    </row>
    <row r="196" spans="1:7">
      <c r="A196" s="54">
        <v>43489</v>
      </c>
      <c r="D196" s="53">
        <v>-4.3999999999999986</v>
      </c>
      <c r="F196" s="53">
        <f t="shared" si="7"/>
        <v>11.841333333333333</v>
      </c>
      <c r="G196" s="53">
        <f t="shared" si="8"/>
        <v>49.28</v>
      </c>
    </row>
    <row r="197" spans="1:7">
      <c r="A197" s="54">
        <v>43490</v>
      </c>
      <c r="D197" s="53">
        <v>-3.7000000000000028</v>
      </c>
      <c r="F197" s="53">
        <f t="shared" si="7"/>
        <v>11.454000000000002</v>
      </c>
      <c r="G197" s="53">
        <f t="shared" si="8"/>
        <v>48.44</v>
      </c>
    </row>
    <row r="198" spans="1:7">
      <c r="A198" s="54">
        <v>43491</v>
      </c>
      <c r="D198" s="53">
        <v>0.5</v>
      </c>
      <c r="F198" s="53">
        <f t="shared" si="7"/>
        <v>9.1300000000000008</v>
      </c>
      <c r="G198" s="53">
        <f t="shared" si="8"/>
        <v>43.4</v>
      </c>
    </row>
    <row r="199" spans="1:7">
      <c r="A199" s="54">
        <v>43492</v>
      </c>
      <c r="D199" s="53">
        <v>3.8000000000000007</v>
      </c>
      <c r="F199" s="53">
        <f t="shared" si="7"/>
        <v>7.3040000000000003</v>
      </c>
      <c r="G199" s="53">
        <f t="shared" si="8"/>
        <v>39.44</v>
      </c>
    </row>
    <row r="200" spans="1:7">
      <c r="A200" s="54">
        <v>43493</v>
      </c>
      <c r="D200" s="53">
        <v>3</v>
      </c>
      <c r="F200" s="53">
        <f t="shared" si="7"/>
        <v>7.7466666666666679</v>
      </c>
      <c r="G200" s="53">
        <f t="shared" si="8"/>
        <v>40.4</v>
      </c>
    </row>
    <row r="201" spans="1:7">
      <c r="A201" s="54">
        <v>43494</v>
      </c>
      <c r="D201" s="53">
        <v>1.3000000000000007</v>
      </c>
      <c r="F201" s="53">
        <f t="shared" si="7"/>
        <v>8.6873333333333331</v>
      </c>
      <c r="G201" s="53">
        <f t="shared" si="8"/>
        <v>42.44</v>
      </c>
    </row>
    <row r="202" spans="1:7">
      <c r="A202" s="54">
        <v>43495</v>
      </c>
      <c r="D202" s="53">
        <v>-1.6000000000000014</v>
      </c>
      <c r="F202" s="53">
        <f t="shared" si="7"/>
        <v>10.292000000000002</v>
      </c>
      <c r="G202" s="53">
        <f t="shared" si="8"/>
        <v>45.92</v>
      </c>
    </row>
    <row r="203" spans="1:7">
      <c r="A203" s="54">
        <v>43496</v>
      </c>
      <c r="D203" s="53">
        <v>-0.19999999999999929</v>
      </c>
      <c r="F203" s="53">
        <f t="shared" si="7"/>
        <v>9.517333333333335</v>
      </c>
      <c r="G203" s="53">
        <f t="shared" si="8"/>
        <v>44.239999999999995</v>
      </c>
    </row>
    <row r="204" spans="1:7">
      <c r="A204" s="54">
        <v>43497</v>
      </c>
      <c r="D204" s="53">
        <v>0.60000000000000142</v>
      </c>
      <c r="F204" s="53">
        <f t="shared" si="7"/>
        <v>9.0746666666666673</v>
      </c>
      <c r="G204" s="53">
        <f t="shared" si="8"/>
        <v>43.28</v>
      </c>
    </row>
    <row r="205" spans="1:7">
      <c r="A205" s="54">
        <v>43498</v>
      </c>
      <c r="D205" s="53">
        <v>2.6000000000000014</v>
      </c>
      <c r="F205" s="53">
        <f t="shared" si="7"/>
        <v>7.968</v>
      </c>
      <c r="G205" s="53">
        <f t="shared" si="8"/>
        <v>40.879999999999995</v>
      </c>
    </row>
    <row r="206" spans="1:7">
      <c r="A206" s="54">
        <v>43499</v>
      </c>
      <c r="D206" s="53">
        <v>0.30000000000000071</v>
      </c>
      <c r="F206" s="53">
        <f t="shared" si="7"/>
        <v>9.2406666666666677</v>
      </c>
      <c r="G206" s="53">
        <f t="shared" si="8"/>
        <v>43.64</v>
      </c>
    </row>
    <row r="207" spans="1:7">
      <c r="A207" s="54">
        <v>43500</v>
      </c>
      <c r="D207" s="53">
        <v>-1.1000000000000014</v>
      </c>
      <c r="F207" s="53">
        <f t="shared" si="7"/>
        <v>10.015333333333334</v>
      </c>
      <c r="G207" s="53">
        <f t="shared" si="8"/>
        <v>45.32</v>
      </c>
    </row>
    <row r="208" spans="1:7">
      <c r="A208" s="54">
        <v>43501</v>
      </c>
      <c r="D208" s="53">
        <v>-3.3999999999999986</v>
      </c>
      <c r="F208" s="53">
        <f t="shared" si="7"/>
        <v>11.288</v>
      </c>
      <c r="G208" s="53">
        <f t="shared" si="8"/>
        <v>48.08</v>
      </c>
    </row>
    <row r="209" spans="1:7">
      <c r="A209" s="54">
        <v>43502</v>
      </c>
      <c r="D209" s="53">
        <v>-1.1000000000000014</v>
      </c>
      <c r="F209" s="53">
        <f t="shared" si="7"/>
        <v>10.015333333333334</v>
      </c>
      <c r="G209" s="53">
        <f t="shared" si="8"/>
        <v>45.32</v>
      </c>
    </row>
    <row r="210" spans="1:7">
      <c r="A210" s="54">
        <v>43503</v>
      </c>
      <c r="D210" s="53">
        <v>-2.3999999999999986</v>
      </c>
      <c r="F210" s="53">
        <f t="shared" si="7"/>
        <v>10.734666666666667</v>
      </c>
      <c r="G210" s="53">
        <f t="shared" si="8"/>
        <v>46.879999999999995</v>
      </c>
    </row>
    <row r="211" spans="1:7">
      <c r="A211" s="54">
        <v>43504</v>
      </c>
      <c r="D211" s="53">
        <v>2.5</v>
      </c>
      <c r="F211" s="53">
        <f t="shared" ref="F211:F274" si="9">IF(F$2-D211&gt;0,(F$2-D211)*F$1/30,0)</f>
        <v>8.0233333333333334</v>
      </c>
      <c r="G211" s="53">
        <f t="shared" ref="G211:G274" si="10">20+(20-D211)*1.2</f>
        <v>41</v>
      </c>
    </row>
    <row r="212" spans="1:7">
      <c r="A212" s="54">
        <v>43505</v>
      </c>
      <c r="D212" s="53">
        <v>4.5</v>
      </c>
      <c r="F212" s="53">
        <f t="shared" si="9"/>
        <v>6.9166666666666679</v>
      </c>
      <c r="G212" s="53">
        <f t="shared" si="10"/>
        <v>38.599999999999994</v>
      </c>
    </row>
    <row r="213" spans="1:7">
      <c r="A213" s="54">
        <v>43506</v>
      </c>
      <c r="D213" s="53">
        <v>5.5</v>
      </c>
      <c r="F213" s="53">
        <f t="shared" si="9"/>
        <v>6.3633333333333333</v>
      </c>
      <c r="G213" s="53">
        <f t="shared" si="10"/>
        <v>37.4</v>
      </c>
    </row>
    <row r="214" spans="1:7">
      <c r="A214" s="54">
        <v>43507</v>
      </c>
      <c r="D214" s="53">
        <v>4.1999999999999993</v>
      </c>
      <c r="F214" s="53">
        <f t="shared" si="9"/>
        <v>7.0826666666666673</v>
      </c>
      <c r="G214" s="53">
        <f t="shared" si="10"/>
        <v>38.96</v>
      </c>
    </row>
    <row r="215" spans="1:7">
      <c r="A215" s="54">
        <v>43508</v>
      </c>
      <c r="D215" s="53">
        <v>1.6999999999999993</v>
      </c>
      <c r="F215" s="53">
        <f t="shared" si="9"/>
        <v>8.4660000000000011</v>
      </c>
      <c r="G215" s="53">
        <f t="shared" si="10"/>
        <v>41.96</v>
      </c>
    </row>
    <row r="216" spans="1:7">
      <c r="A216" s="54">
        <v>43509</v>
      </c>
      <c r="D216" s="53">
        <v>4.5</v>
      </c>
      <c r="F216" s="53">
        <f t="shared" si="9"/>
        <v>6.9166666666666679</v>
      </c>
      <c r="G216" s="53">
        <f t="shared" si="10"/>
        <v>38.599999999999994</v>
      </c>
    </row>
    <row r="217" spans="1:7">
      <c r="A217" s="54">
        <v>43510</v>
      </c>
      <c r="D217" s="53">
        <v>4.8999999999999986</v>
      </c>
      <c r="F217" s="53">
        <f t="shared" si="9"/>
        <v>6.6953333333333349</v>
      </c>
      <c r="G217" s="53">
        <f t="shared" si="10"/>
        <v>38.120000000000005</v>
      </c>
    </row>
    <row r="218" spans="1:7">
      <c r="A218" s="54">
        <v>43511</v>
      </c>
      <c r="D218" s="53">
        <v>3.3999999999999986</v>
      </c>
      <c r="F218" s="53">
        <f t="shared" si="9"/>
        <v>7.525333333333335</v>
      </c>
      <c r="G218" s="53">
        <f t="shared" si="10"/>
        <v>39.92</v>
      </c>
    </row>
    <row r="219" spans="1:7">
      <c r="A219" s="54">
        <v>43512</v>
      </c>
      <c r="D219" s="53">
        <v>0.89999999999999858</v>
      </c>
      <c r="F219" s="53">
        <f t="shared" si="9"/>
        <v>8.9086666666666687</v>
      </c>
      <c r="G219" s="53">
        <f t="shared" si="10"/>
        <v>42.92</v>
      </c>
    </row>
    <row r="220" spans="1:7">
      <c r="A220" s="54">
        <v>43513</v>
      </c>
      <c r="D220" s="53">
        <v>2.1999999999999993</v>
      </c>
      <c r="F220" s="53">
        <f t="shared" si="9"/>
        <v>8.1893333333333338</v>
      </c>
      <c r="G220" s="53">
        <f t="shared" si="10"/>
        <v>41.36</v>
      </c>
    </row>
    <row r="221" spans="1:7">
      <c r="A221" s="54">
        <v>43514</v>
      </c>
      <c r="D221" s="53">
        <v>1.8000000000000007</v>
      </c>
      <c r="F221" s="53">
        <f t="shared" si="9"/>
        <v>8.4106666666666676</v>
      </c>
      <c r="G221" s="53">
        <f t="shared" si="10"/>
        <v>41.84</v>
      </c>
    </row>
    <row r="222" spans="1:7">
      <c r="A222" s="54">
        <v>43515</v>
      </c>
      <c r="D222" s="53">
        <v>4.5</v>
      </c>
      <c r="F222" s="53">
        <f t="shared" si="9"/>
        <v>6.9166666666666679</v>
      </c>
      <c r="G222" s="53">
        <f t="shared" si="10"/>
        <v>38.599999999999994</v>
      </c>
    </row>
    <row r="223" spans="1:7">
      <c r="A223" s="54">
        <v>43516</v>
      </c>
      <c r="D223" s="53">
        <v>4.5</v>
      </c>
      <c r="F223" s="53">
        <f t="shared" si="9"/>
        <v>6.9166666666666679</v>
      </c>
      <c r="G223" s="53">
        <f t="shared" si="10"/>
        <v>38.599999999999994</v>
      </c>
    </row>
    <row r="224" spans="1:7">
      <c r="A224" s="54">
        <v>43517</v>
      </c>
      <c r="D224" s="53">
        <v>6.1000000000000014</v>
      </c>
      <c r="F224" s="53">
        <f t="shared" si="9"/>
        <v>6.0313333333333334</v>
      </c>
      <c r="G224" s="53">
        <f t="shared" si="10"/>
        <v>36.679999999999993</v>
      </c>
    </row>
    <row r="225" spans="1:7">
      <c r="A225" s="54">
        <v>43518</v>
      </c>
      <c r="D225" s="53">
        <v>4.1999999999999993</v>
      </c>
      <c r="F225" s="53">
        <f t="shared" si="9"/>
        <v>7.0826666666666673</v>
      </c>
      <c r="G225" s="53">
        <f t="shared" si="10"/>
        <v>38.96</v>
      </c>
    </row>
    <row r="226" spans="1:7">
      <c r="A226" s="54">
        <v>43519</v>
      </c>
      <c r="D226" s="53">
        <v>-2.7999999999999972</v>
      </c>
      <c r="F226" s="53">
        <f t="shared" si="9"/>
        <v>10.956</v>
      </c>
      <c r="G226" s="53">
        <f t="shared" si="10"/>
        <v>47.36</v>
      </c>
    </row>
    <row r="227" spans="1:7">
      <c r="A227" s="54">
        <v>43520</v>
      </c>
      <c r="D227" s="53">
        <v>-0.60000000000000142</v>
      </c>
      <c r="F227" s="53">
        <f t="shared" si="9"/>
        <v>9.738666666666667</v>
      </c>
      <c r="G227" s="53">
        <f t="shared" si="10"/>
        <v>44.72</v>
      </c>
    </row>
    <row r="228" spans="1:7">
      <c r="A228" s="54">
        <v>43521</v>
      </c>
      <c r="D228" s="53">
        <v>6.3000000000000007</v>
      </c>
      <c r="F228" s="53">
        <f t="shared" si="9"/>
        <v>5.9206666666666665</v>
      </c>
      <c r="G228" s="53">
        <f t="shared" si="10"/>
        <v>36.44</v>
      </c>
    </row>
    <row r="229" spans="1:7">
      <c r="A229" s="54">
        <v>43522</v>
      </c>
      <c r="D229" s="53">
        <v>7.6000000000000014</v>
      </c>
      <c r="F229" s="53">
        <f t="shared" si="9"/>
        <v>5.2013333333333334</v>
      </c>
      <c r="G229" s="53">
        <f t="shared" si="10"/>
        <v>34.879999999999995</v>
      </c>
    </row>
    <row r="230" spans="1:7">
      <c r="A230" s="54">
        <v>43523</v>
      </c>
      <c r="D230" s="53">
        <v>6.3999999999999986</v>
      </c>
      <c r="F230" s="53">
        <f t="shared" si="9"/>
        <v>5.8653333333333348</v>
      </c>
      <c r="G230" s="53">
        <f t="shared" si="10"/>
        <v>36.32</v>
      </c>
    </row>
    <row r="231" spans="1:7">
      <c r="A231" s="54">
        <v>43524</v>
      </c>
      <c r="D231" s="53">
        <v>10.199999999999999</v>
      </c>
      <c r="F231" s="53">
        <f t="shared" si="9"/>
        <v>3.7626666666666675</v>
      </c>
      <c r="G231" s="53">
        <f t="shared" si="10"/>
        <v>31.759999999999998</v>
      </c>
    </row>
    <row r="232" spans="1:7">
      <c r="A232" s="54">
        <v>43525</v>
      </c>
      <c r="D232" s="53">
        <v>8.5</v>
      </c>
      <c r="F232" s="53">
        <f t="shared" si="9"/>
        <v>4.703333333333334</v>
      </c>
      <c r="G232" s="53">
        <f t="shared" si="10"/>
        <v>33.799999999999997</v>
      </c>
    </row>
    <row r="233" spans="1:7">
      <c r="A233" s="54">
        <v>43526</v>
      </c>
      <c r="D233" s="53">
        <v>4.1999999999999993</v>
      </c>
      <c r="F233" s="53">
        <f t="shared" si="9"/>
        <v>7.0826666666666673</v>
      </c>
      <c r="G233" s="53">
        <f t="shared" si="10"/>
        <v>38.96</v>
      </c>
    </row>
    <row r="234" spans="1:7">
      <c r="A234" s="54">
        <v>43527</v>
      </c>
      <c r="D234" s="53">
        <v>9.1000000000000014</v>
      </c>
      <c r="F234" s="53">
        <f t="shared" si="9"/>
        <v>4.3713333333333333</v>
      </c>
      <c r="G234" s="53">
        <f t="shared" si="10"/>
        <v>33.08</v>
      </c>
    </row>
    <row r="235" spans="1:7">
      <c r="A235" s="54">
        <v>43528</v>
      </c>
      <c r="D235" s="53">
        <v>10.7</v>
      </c>
      <c r="F235" s="53">
        <f t="shared" si="9"/>
        <v>3.4860000000000011</v>
      </c>
      <c r="G235" s="53">
        <f t="shared" si="10"/>
        <v>31.16</v>
      </c>
    </row>
    <row r="236" spans="1:7">
      <c r="A236" s="54">
        <v>43529</v>
      </c>
      <c r="D236" s="53">
        <v>5.5</v>
      </c>
      <c r="F236" s="53">
        <f t="shared" si="9"/>
        <v>6.3633333333333333</v>
      </c>
      <c r="G236" s="53">
        <f t="shared" si="10"/>
        <v>37.4</v>
      </c>
    </row>
    <row r="237" spans="1:7">
      <c r="A237" s="54">
        <v>43530</v>
      </c>
      <c r="D237" s="53">
        <v>6.3000000000000007</v>
      </c>
      <c r="F237" s="53">
        <f t="shared" si="9"/>
        <v>5.9206666666666665</v>
      </c>
      <c r="G237" s="53">
        <f t="shared" si="10"/>
        <v>36.44</v>
      </c>
    </row>
    <row r="238" spans="1:7">
      <c r="A238" s="54">
        <v>43531</v>
      </c>
      <c r="D238" s="53">
        <v>8.8999999999999986</v>
      </c>
      <c r="F238" s="53">
        <f t="shared" si="9"/>
        <v>4.4820000000000011</v>
      </c>
      <c r="G238" s="53">
        <f t="shared" si="10"/>
        <v>33.32</v>
      </c>
    </row>
    <row r="239" spans="1:7">
      <c r="A239" s="54">
        <v>43532</v>
      </c>
      <c r="D239" s="53">
        <v>7.6000000000000014</v>
      </c>
      <c r="F239" s="53">
        <f t="shared" si="9"/>
        <v>5.2013333333333334</v>
      </c>
      <c r="G239" s="53">
        <f t="shared" si="10"/>
        <v>34.879999999999995</v>
      </c>
    </row>
    <row r="240" spans="1:7">
      <c r="A240" s="54">
        <v>43533</v>
      </c>
      <c r="D240" s="53">
        <v>7.6000000000000014</v>
      </c>
      <c r="F240" s="53">
        <f t="shared" si="9"/>
        <v>5.2013333333333334</v>
      </c>
      <c r="G240" s="53">
        <f t="shared" si="10"/>
        <v>34.879999999999995</v>
      </c>
    </row>
    <row r="241" spans="1:7">
      <c r="A241" s="54">
        <v>43534</v>
      </c>
      <c r="D241" s="53">
        <v>7.3000000000000007</v>
      </c>
      <c r="F241" s="53">
        <f t="shared" si="9"/>
        <v>5.3673333333333337</v>
      </c>
      <c r="G241" s="53">
        <f t="shared" si="10"/>
        <v>35.239999999999995</v>
      </c>
    </row>
    <row r="242" spans="1:7">
      <c r="A242" s="54">
        <v>43535</v>
      </c>
      <c r="D242" s="53">
        <v>3.3000000000000007</v>
      </c>
      <c r="F242" s="53">
        <f t="shared" si="9"/>
        <v>7.5806666666666676</v>
      </c>
      <c r="G242" s="53">
        <f t="shared" si="10"/>
        <v>40.04</v>
      </c>
    </row>
    <row r="243" spans="1:7">
      <c r="A243" s="54">
        <v>43536</v>
      </c>
      <c r="D243" s="53">
        <v>4.1000000000000014</v>
      </c>
      <c r="F243" s="53">
        <f t="shared" si="9"/>
        <v>7.1379999999999999</v>
      </c>
      <c r="G243" s="53">
        <f t="shared" si="10"/>
        <v>39.08</v>
      </c>
    </row>
    <row r="244" spans="1:7">
      <c r="A244" s="54">
        <v>43537</v>
      </c>
      <c r="D244" s="53">
        <v>6.8000000000000007</v>
      </c>
      <c r="F244" s="53">
        <f t="shared" si="9"/>
        <v>5.6440000000000001</v>
      </c>
      <c r="G244" s="53">
        <f t="shared" si="10"/>
        <v>35.839999999999996</v>
      </c>
    </row>
    <row r="245" spans="1:7">
      <c r="A245" s="54">
        <v>43538</v>
      </c>
      <c r="D245" s="53">
        <v>5.8000000000000007</v>
      </c>
      <c r="F245" s="53">
        <f t="shared" si="9"/>
        <v>6.1973333333333338</v>
      </c>
      <c r="G245" s="53">
        <f t="shared" si="10"/>
        <v>37.04</v>
      </c>
    </row>
    <row r="246" spans="1:7">
      <c r="A246" s="54">
        <v>43539</v>
      </c>
      <c r="D246" s="53">
        <v>7.6000000000000014</v>
      </c>
      <c r="F246" s="53">
        <f t="shared" si="9"/>
        <v>5.2013333333333334</v>
      </c>
      <c r="G246" s="53">
        <f t="shared" si="10"/>
        <v>34.879999999999995</v>
      </c>
    </row>
    <row r="247" spans="1:7">
      <c r="A247" s="54">
        <v>43540</v>
      </c>
      <c r="D247" s="53">
        <v>7.3999999999999986</v>
      </c>
      <c r="F247" s="53">
        <f t="shared" si="9"/>
        <v>5.3120000000000012</v>
      </c>
      <c r="G247" s="53">
        <f t="shared" si="10"/>
        <v>35.120000000000005</v>
      </c>
    </row>
    <row r="248" spans="1:7">
      <c r="A248" s="54">
        <v>43541</v>
      </c>
      <c r="D248" s="53">
        <v>10.5</v>
      </c>
      <c r="F248" s="53">
        <f t="shared" si="9"/>
        <v>3.5966666666666667</v>
      </c>
      <c r="G248" s="53">
        <f t="shared" si="10"/>
        <v>31.4</v>
      </c>
    </row>
    <row r="249" spans="1:7">
      <c r="A249" s="54">
        <v>43542</v>
      </c>
      <c r="D249" s="53">
        <v>5.5</v>
      </c>
      <c r="F249" s="53">
        <f t="shared" si="9"/>
        <v>6.3633333333333333</v>
      </c>
      <c r="G249" s="53">
        <f t="shared" si="10"/>
        <v>37.4</v>
      </c>
    </row>
    <row r="250" spans="1:7">
      <c r="A250" s="54">
        <v>43543</v>
      </c>
      <c r="D250" s="53">
        <v>4.1999999999999993</v>
      </c>
      <c r="F250" s="53">
        <f t="shared" si="9"/>
        <v>7.0826666666666673</v>
      </c>
      <c r="G250" s="53">
        <f t="shared" si="10"/>
        <v>38.96</v>
      </c>
    </row>
    <row r="251" spans="1:7">
      <c r="A251" s="54">
        <v>43544</v>
      </c>
      <c r="D251" s="53">
        <v>6.1000000000000014</v>
      </c>
      <c r="F251" s="53">
        <f t="shared" si="9"/>
        <v>6.0313333333333334</v>
      </c>
      <c r="G251" s="53">
        <f t="shared" si="10"/>
        <v>36.679999999999993</v>
      </c>
    </row>
    <row r="252" spans="1:7">
      <c r="A252" s="54">
        <v>43545</v>
      </c>
      <c r="D252" s="53">
        <v>7</v>
      </c>
      <c r="F252" s="53">
        <f t="shared" si="9"/>
        <v>5.5333333333333332</v>
      </c>
      <c r="G252" s="53">
        <f t="shared" si="10"/>
        <v>35.6</v>
      </c>
    </row>
    <row r="253" spans="1:7">
      <c r="A253" s="54">
        <v>43546</v>
      </c>
      <c r="D253" s="53">
        <v>10</v>
      </c>
      <c r="F253" s="53">
        <f t="shared" si="9"/>
        <v>3.873333333333334</v>
      </c>
      <c r="G253" s="53">
        <f t="shared" si="10"/>
        <v>32</v>
      </c>
    </row>
    <row r="254" spans="1:7">
      <c r="A254" s="54">
        <v>43547</v>
      </c>
      <c r="D254" s="53">
        <v>12</v>
      </c>
      <c r="F254" s="53">
        <f t="shared" si="9"/>
        <v>2.7666666666666666</v>
      </c>
      <c r="G254" s="53">
        <f t="shared" si="10"/>
        <v>29.6</v>
      </c>
    </row>
    <row r="255" spans="1:7">
      <c r="A255" s="54">
        <v>43548</v>
      </c>
      <c r="D255" s="53">
        <v>8.8999999999999986</v>
      </c>
      <c r="F255" s="53">
        <f t="shared" si="9"/>
        <v>4.4820000000000011</v>
      </c>
      <c r="G255" s="53">
        <f t="shared" si="10"/>
        <v>33.32</v>
      </c>
    </row>
    <row r="256" spans="1:7">
      <c r="A256" s="54">
        <v>43549</v>
      </c>
      <c r="D256" s="53">
        <v>6.3000000000000007</v>
      </c>
      <c r="F256" s="53">
        <f t="shared" si="9"/>
        <v>5.9206666666666665</v>
      </c>
      <c r="G256" s="53">
        <f t="shared" si="10"/>
        <v>36.44</v>
      </c>
    </row>
    <row r="257" spans="1:7">
      <c r="A257" s="54">
        <v>43550</v>
      </c>
      <c r="D257" s="53">
        <v>5.3999999999999986</v>
      </c>
      <c r="F257" s="53">
        <f t="shared" si="9"/>
        <v>6.4186666666666676</v>
      </c>
      <c r="G257" s="53">
        <f t="shared" si="10"/>
        <v>37.519999999999996</v>
      </c>
    </row>
    <row r="258" spans="1:7">
      <c r="A258" s="54">
        <v>43551</v>
      </c>
      <c r="D258" s="53">
        <v>6.1000000000000014</v>
      </c>
      <c r="F258" s="53">
        <f t="shared" si="9"/>
        <v>6.0313333333333334</v>
      </c>
      <c r="G258" s="53">
        <f t="shared" si="10"/>
        <v>36.679999999999993</v>
      </c>
    </row>
    <row r="259" spans="1:7">
      <c r="A259" s="54">
        <v>43552</v>
      </c>
      <c r="D259" s="53">
        <v>8.1000000000000014</v>
      </c>
      <c r="F259" s="53">
        <f t="shared" si="9"/>
        <v>4.9246666666666661</v>
      </c>
      <c r="G259" s="53">
        <f t="shared" si="10"/>
        <v>34.28</v>
      </c>
    </row>
    <row r="260" spans="1:7">
      <c r="A260" s="54">
        <v>43553</v>
      </c>
      <c r="D260" s="53">
        <v>8.8000000000000007</v>
      </c>
      <c r="F260" s="53">
        <f t="shared" si="9"/>
        <v>4.5373333333333337</v>
      </c>
      <c r="G260" s="53">
        <f t="shared" si="10"/>
        <v>33.44</v>
      </c>
    </row>
    <row r="261" spans="1:7">
      <c r="A261" s="54">
        <v>43554</v>
      </c>
      <c r="D261" s="53">
        <v>9.3000000000000007</v>
      </c>
      <c r="F261" s="53">
        <f t="shared" si="9"/>
        <v>4.2606666666666664</v>
      </c>
      <c r="G261" s="53">
        <f t="shared" si="10"/>
        <v>32.839999999999996</v>
      </c>
    </row>
    <row r="262" spans="1:7">
      <c r="A262" s="54">
        <v>43555</v>
      </c>
      <c r="D262" s="53">
        <v>10.5</v>
      </c>
      <c r="F262" s="53">
        <f t="shared" si="9"/>
        <v>3.5966666666666667</v>
      </c>
      <c r="G262" s="53">
        <f t="shared" si="10"/>
        <v>31.4</v>
      </c>
    </row>
    <row r="263" spans="1:7">
      <c r="A263" s="54">
        <v>43556</v>
      </c>
      <c r="D263" s="53">
        <v>7.3000000000000007</v>
      </c>
      <c r="F263" s="53">
        <f t="shared" si="9"/>
        <v>5.3673333333333337</v>
      </c>
      <c r="G263" s="53">
        <f t="shared" si="10"/>
        <v>35.239999999999995</v>
      </c>
    </row>
    <row r="264" spans="1:7">
      <c r="A264" s="54">
        <v>43557</v>
      </c>
      <c r="D264" s="53">
        <v>8.6999999999999993</v>
      </c>
      <c r="F264" s="53">
        <f t="shared" si="9"/>
        <v>4.592666666666668</v>
      </c>
      <c r="G264" s="53">
        <f t="shared" si="10"/>
        <v>33.56</v>
      </c>
    </row>
    <row r="265" spans="1:7">
      <c r="A265" s="54">
        <v>43558</v>
      </c>
      <c r="D265" s="53">
        <v>12.600000000000001</v>
      </c>
      <c r="F265" s="53">
        <f t="shared" si="9"/>
        <v>2.4346666666666659</v>
      </c>
      <c r="G265" s="53">
        <f t="shared" si="10"/>
        <v>28.879999999999995</v>
      </c>
    </row>
    <row r="266" spans="1:7">
      <c r="A266" s="54">
        <v>43559</v>
      </c>
      <c r="D266" s="53">
        <v>13.399999999999999</v>
      </c>
      <c r="F266" s="53">
        <f t="shared" si="9"/>
        <v>1.9920000000000009</v>
      </c>
      <c r="G266" s="53">
        <f t="shared" si="10"/>
        <v>27.92</v>
      </c>
    </row>
    <row r="267" spans="1:7">
      <c r="A267" s="54">
        <v>43560</v>
      </c>
      <c r="D267" s="53">
        <v>12.899999999999999</v>
      </c>
      <c r="F267" s="53">
        <f t="shared" si="9"/>
        <v>2.2686666666666677</v>
      </c>
      <c r="G267" s="53">
        <f t="shared" si="10"/>
        <v>28.520000000000003</v>
      </c>
    </row>
    <row r="268" spans="1:7">
      <c r="A268" s="54">
        <v>43561</v>
      </c>
      <c r="D268" s="53">
        <v>11.8</v>
      </c>
      <c r="F268" s="53">
        <f t="shared" si="9"/>
        <v>2.8773333333333331</v>
      </c>
      <c r="G268" s="53">
        <f t="shared" si="10"/>
        <v>29.839999999999996</v>
      </c>
    </row>
    <row r="269" spans="1:7">
      <c r="A269" s="54">
        <v>43562</v>
      </c>
      <c r="D269" s="53">
        <v>10.199999999999999</v>
      </c>
      <c r="F269" s="53">
        <f t="shared" si="9"/>
        <v>3.7626666666666675</v>
      </c>
      <c r="G269" s="53">
        <f t="shared" si="10"/>
        <v>31.759999999999998</v>
      </c>
    </row>
    <row r="270" spans="1:7">
      <c r="A270" s="54">
        <v>43563</v>
      </c>
      <c r="D270" s="53">
        <v>12.8</v>
      </c>
      <c r="F270" s="53">
        <f t="shared" si="9"/>
        <v>2.3239999999999998</v>
      </c>
      <c r="G270" s="53">
        <f t="shared" si="10"/>
        <v>28.64</v>
      </c>
    </row>
    <row r="271" spans="1:7">
      <c r="A271" s="54">
        <v>43564</v>
      </c>
      <c r="D271" s="53">
        <v>10.600000000000001</v>
      </c>
      <c r="F271" s="53">
        <f t="shared" si="9"/>
        <v>3.5413333333333328</v>
      </c>
      <c r="G271" s="53">
        <f t="shared" si="10"/>
        <v>31.279999999999998</v>
      </c>
    </row>
    <row r="272" spans="1:7">
      <c r="A272" s="54">
        <v>43565</v>
      </c>
      <c r="D272" s="53">
        <v>6.5</v>
      </c>
      <c r="F272" s="53">
        <f t="shared" si="9"/>
        <v>5.8100000000000005</v>
      </c>
      <c r="G272" s="53">
        <f t="shared" si="10"/>
        <v>36.200000000000003</v>
      </c>
    </row>
    <row r="273" spans="1:7">
      <c r="A273" s="54">
        <v>43566</v>
      </c>
      <c r="D273" s="53">
        <v>4.6000000000000014</v>
      </c>
      <c r="F273" s="53">
        <f t="shared" si="9"/>
        <v>6.8613333333333335</v>
      </c>
      <c r="G273" s="53">
        <f t="shared" si="10"/>
        <v>38.479999999999997</v>
      </c>
    </row>
    <row r="274" spans="1:7">
      <c r="A274" s="54">
        <v>43567</v>
      </c>
      <c r="D274" s="53">
        <v>3.1000000000000014</v>
      </c>
      <c r="F274" s="53">
        <f t="shared" si="9"/>
        <v>7.6913333333333336</v>
      </c>
      <c r="G274" s="53">
        <f t="shared" si="10"/>
        <v>40.28</v>
      </c>
    </row>
    <row r="275" spans="1:7">
      <c r="A275" s="54">
        <v>43568</v>
      </c>
      <c r="D275" s="53">
        <v>4.3999999999999986</v>
      </c>
      <c r="F275" s="53">
        <f t="shared" ref="F275:F338" si="11">IF(F$2-D275&gt;0,(F$2-D275)*F$1/30,0)</f>
        <v>6.9720000000000022</v>
      </c>
      <c r="G275" s="53">
        <f t="shared" ref="G275:G338" si="12">20+(20-D275)*1.2</f>
        <v>38.72</v>
      </c>
    </row>
    <row r="276" spans="1:7">
      <c r="A276" s="54">
        <v>43569</v>
      </c>
      <c r="D276" s="53">
        <v>4.6000000000000014</v>
      </c>
      <c r="F276" s="53">
        <f t="shared" si="11"/>
        <v>6.8613333333333335</v>
      </c>
      <c r="G276" s="53">
        <f t="shared" si="12"/>
        <v>38.479999999999997</v>
      </c>
    </row>
    <row r="277" spans="1:7">
      <c r="A277" s="54">
        <v>43570</v>
      </c>
      <c r="D277" s="53">
        <v>8.8000000000000007</v>
      </c>
      <c r="F277" s="53">
        <f t="shared" si="11"/>
        <v>4.5373333333333337</v>
      </c>
      <c r="G277" s="53">
        <f t="shared" si="12"/>
        <v>33.44</v>
      </c>
    </row>
    <row r="278" spans="1:7">
      <c r="A278" s="54">
        <v>43571</v>
      </c>
      <c r="D278" s="53">
        <v>8.6999999999999993</v>
      </c>
      <c r="F278" s="53">
        <f t="shared" si="11"/>
        <v>4.592666666666668</v>
      </c>
      <c r="G278" s="53">
        <f t="shared" si="12"/>
        <v>33.56</v>
      </c>
    </row>
    <row r="279" spans="1:7">
      <c r="A279" s="54">
        <v>43572</v>
      </c>
      <c r="D279" s="53">
        <v>10.199999999999999</v>
      </c>
      <c r="F279" s="53">
        <f t="shared" si="11"/>
        <v>3.7626666666666675</v>
      </c>
      <c r="G279" s="53">
        <f t="shared" si="12"/>
        <v>31.759999999999998</v>
      </c>
    </row>
    <row r="280" spans="1:7">
      <c r="A280" s="54">
        <v>43573</v>
      </c>
      <c r="D280" s="53">
        <v>12.399999999999999</v>
      </c>
      <c r="F280" s="53">
        <f t="shared" si="11"/>
        <v>2.5453333333333341</v>
      </c>
      <c r="G280" s="53">
        <f t="shared" si="12"/>
        <v>29.12</v>
      </c>
    </row>
    <row r="281" spans="1:7">
      <c r="A281" s="54">
        <v>43574</v>
      </c>
      <c r="D281" s="53">
        <v>14.8</v>
      </c>
      <c r="F281" s="53">
        <f t="shared" si="11"/>
        <v>1.2173333333333329</v>
      </c>
      <c r="G281" s="53">
        <f t="shared" si="12"/>
        <v>26.24</v>
      </c>
    </row>
    <row r="282" spans="1:7">
      <c r="A282" s="54">
        <v>43575</v>
      </c>
      <c r="D282" s="53">
        <v>14.2</v>
      </c>
      <c r="F282" s="53">
        <f t="shared" si="11"/>
        <v>1.5493333333333339</v>
      </c>
      <c r="G282" s="53">
        <f t="shared" si="12"/>
        <v>26.96</v>
      </c>
    </row>
    <row r="283" spans="1:7">
      <c r="A283" s="54">
        <v>43576</v>
      </c>
      <c r="D283" s="53">
        <v>13.899999999999999</v>
      </c>
      <c r="F283" s="53">
        <f t="shared" si="11"/>
        <v>1.7153333333333343</v>
      </c>
      <c r="G283" s="53">
        <f t="shared" si="12"/>
        <v>27.32</v>
      </c>
    </row>
    <row r="284" spans="1:7">
      <c r="A284" s="54">
        <v>43577</v>
      </c>
      <c r="D284" s="53">
        <v>12.600000000000001</v>
      </c>
      <c r="F284" s="53">
        <f t="shared" si="11"/>
        <v>2.4346666666666659</v>
      </c>
      <c r="G284" s="53">
        <f t="shared" si="12"/>
        <v>28.879999999999995</v>
      </c>
    </row>
    <row r="285" spans="1:7">
      <c r="A285" s="54">
        <v>43578</v>
      </c>
      <c r="D285" s="53">
        <v>11.899999999999999</v>
      </c>
      <c r="F285" s="53">
        <f t="shared" si="11"/>
        <v>2.822000000000001</v>
      </c>
      <c r="G285" s="53">
        <f t="shared" si="12"/>
        <v>29.72</v>
      </c>
    </row>
    <row r="286" spans="1:7">
      <c r="A286" s="54">
        <v>43579</v>
      </c>
      <c r="D286" s="53">
        <v>15.2</v>
      </c>
      <c r="F286" s="53">
        <f t="shared" si="11"/>
        <v>0.99600000000000044</v>
      </c>
      <c r="G286" s="53">
        <f t="shared" si="12"/>
        <v>25.76</v>
      </c>
    </row>
    <row r="287" spans="1:7">
      <c r="A287" s="54">
        <v>43580</v>
      </c>
      <c r="D287" s="53">
        <v>17.899999999999999</v>
      </c>
      <c r="F287" s="53">
        <f t="shared" si="11"/>
        <v>0</v>
      </c>
      <c r="G287" s="53">
        <f t="shared" si="12"/>
        <v>22.520000000000003</v>
      </c>
    </row>
    <row r="288" spans="1:7">
      <c r="A288" s="54">
        <v>43581</v>
      </c>
      <c r="D288" s="53">
        <v>17.7</v>
      </c>
      <c r="F288" s="53">
        <f t="shared" si="11"/>
        <v>0</v>
      </c>
      <c r="G288" s="53">
        <f t="shared" si="12"/>
        <v>22.76</v>
      </c>
    </row>
    <row r="289" spans="1:7">
      <c r="A289" s="54">
        <v>43582</v>
      </c>
      <c r="D289" s="53">
        <v>11.100000000000001</v>
      </c>
      <c r="F289" s="53">
        <f t="shared" si="11"/>
        <v>3.2646666666666659</v>
      </c>
      <c r="G289" s="53">
        <f t="shared" si="12"/>
        <v>30.68</v>
      </c>
    </row>
    <row r="290" spans="1:7">
      <c r="A290" s="54">
        <v>43583</v>
      </c>
      <c r="D290" s="53">
        <v>9.6999999999999993</v>
      </c>
      <c r="F290" s="53">
        <f t="shared" si="11"/>
        <v>4.0393333333333343</v>
      </c>
      <c r="G290" s="53">
        <f t="shared" si="12"/>
        <v>32.36</v>
      </c>
    </row>
    <row r="291" spans="1:7">
      <c r="A291" s="54">
        <v>43584</v>
      </c>
      <c r="D291" s="53">
        <v>8</v>
      </c>
      <c r="F291" s="53">
        <f t="shared" si="11"/>
        <v>4.9800000000000004</v>
      </c>
      <c r="G291" s="53">
        <f t="shared" si="12"/>
        <v>34.4</v>
      </c>
    </row>
    <row r="292" spans="1:7">
      <c r="A292" s="54">
        <v>43585</v>
      </c>
      <c r="D292" s="53">
        <v>11.2</v>
      </c>
      <c r="F292" s="53">
        <f t="shared" si="11"/>
        <v>3.2093333333333338</v>
      </c>
      <c r="G292" s="53">
        <f t="shared" si="12"/>
        <v>30.560000000000002</v>
      </c>
    </row>
    <row r="293" spans="1:7">
      <c r="A293" s="54">
        <v>43586</v>
      </c>
      <c r="D293" s="53">
        <v>11.3</v>
      </c>
      <c r="F293" s="53">
        <f t="shared" si="11"/>
        <v>3.1539999999999995</v>
      </c>
      <c r="G293" s="53">
        <f t="shared" si="12"/>
        <v>30.439999999999998</v>
      </c>
    </row>
    <row r="294" spans="1:7">
      <c r="A294" s="54">
        <v>43587</v>
      </c>
      <c r="D294" s="53">
        <v>13.899999999999999</v>
      </c>
      <c r="F294" s="53">
        <f t="shared" si="11"/>
        <v>1.7153333333333343</v>
      </c>
      <c r="G294" s="53">
        <f t="shared" si="12"/>
        <v>27.32</v>
      </c>
    </row>
    <row r="295" spans="1:7">
      <c r="A295" s="54">
        <v>43588</v>
      </c>
      <c r="D295" s="53">
        <v>9</v>
      </c>
      <c r="F295" s="53">
        <f t="shared" si="11"/>
        <v>4.4266666666666667</v>
      </c>
      <c r="G295" s="53">
        <f t="shared" si="12"/>
        <v>33.200000000000003</v>
      </c>
    </row>
    <row r="296" spans="1:7">
      <c r="A296" s="54">
        <v>43589</v>
      </c>
      <c r="D296" s="53">
        <v>6.1999999999999993</v>
      </c>
      <c r="F296" s="53">
        <f t="shared" si="11"/>
        <v>5.9760000000000009</v>
      </c>
      <c r="G296" s="53">
        <f t="shared" si="12"/>
        <v>36.56</v>
      </c>
    </row>
    <row r="297" spans="1:7">
      <c r="A297" s="54">
        <v>43590</v>
      </c>
      <c r="D297" s="53">
        <v>5.6000000000000014</v>
      </c>
      <c r="F297" s="53">
        <f t="shared" si="11"/>
        <v>6.3079999999999989</v>
      </c>
      <c r="G297" s="53">
        <f t="shared" si="12"/>
        <v>37.28</v>
      </c>
    </row>
    <row r="298" spans="1:7">
      <c r="A298" s="54">
        <v>43591</v>
      </c>
      <c r="D298" s="53">
        <v>6.6000000000000014</v>
      </c>
      <c r="F298" s="53">
        <f t="shared" si="11"/>
        <v>5.7546666666666662</v>
      </c>
      <c r="G298" s="53">
        <f t="shared" si="12"/>
        <v>36.08</v>
      </c>
    </row>
    <row r="299" spans="1:7">
      <c r="A299" s="54">
        <v>43592</v>
      </c>
      <c r="D299" s="53">
        <v>7</v>
      </c>
      <c r="F299" s="53">
        <f t="shared" si="11"/>
        <v>5.5333333333333332</v>
      </c>
      <c r="G299" s="53">
        <f t="shared" si="12"/>
        <v>35.6</v>
      </c>
    </row>
    <row r="300" spans="1:7">
      <c r="A300" s="54">
        <v>43593</v>
      </c>
      <c r="D300" s="53">
        <v>11.5</v>
      </c>
      <c r="F300" s="53">
        <f t="shared" si="11"/>
        <v>3.0433333333333339</v>
      </c>
      <c r="G300" s="53">
        <f t="shared" si="12"/>
        <v>30.2</v>
      </c>
    </row>
    <row r="301" spans="1:7">
      <c r="A301" s="54">
        <v>43594</v>
      </c>
      <c r="D301" s="53">
        <v>13.3</v>
      </c>
      <c r="F301" s="53">
        <f t="shared" si="11"/>
        <v>2.047333333333333</v>
      </c>
      <c r="G301" s="53">
        <f t="shared" si="12"/>
        <v>28.04</v>
      </c>
    </row>
    <row r="302" spans="1:7">
      <c r="A302" s="54">
        <v>43595</v>
      </c>
      <c r="D302" s="53">
        <v>13.399999999999999</v>
      </c>
      <c r="F302" s="53">
        <f t="shared" si="11"/>
        <v>1.9920000000000009</v>
      </c>
      <c r="G302" s="53">
        <f t="shared" si="12"/>
        <v>27.92</v>
      </c>
    </row>
    <row r="303" spans="1:7">
      <c r="A303" s="54">
        <v>43596</v>
      </c>
      <c r="D303" s="53">
        <v>10.8</v>
      </c>
      <c r="F303" s="53">
        <f t="shared" si="11"/>
        <v>3.4306666666666668</v>
      </c>
      <c r="G303" s="53">
        <f t="shared" si="12"/>
        <v>31.04</v>
      </c>
    </row>
    <row r="304" spans="1:7">
      <c r="A304" s="54">
        <v>43597</v>
      </c>
      <c r="D304" s="53">
        <v>9.8999999999999986</v>
      </c>
      <c r="F304" s="53">
        <f t="shared" si="11"/>
        <v>3.9286666666666674</v>
      </c>
      <c r="G304" s="53">
        <f t="shared" si="12"/>
        <v>32.120000000000005</v>
      </c>
    </row>
    <row r="305" spans="1:7">
      <c r="A305" s="54">
        <v>43598</v>
      </c>
      <c r="D305" s="53">
        <v>10.3</v>
      </c>
      <c r="F305" s="53">
        <f t="shared" si="11"/>
        <v>3.7073333333333331</v>
      </c>
      <c r="G305" s="53">
        <f t="shared" si="12"/>
        <v>31.64</v>
      </c>
    </row>
    <row r="306" spans="1:7">
      <c r="A306" s="54">
        <v>43599</v>
      </c>
      <c r="D306" s="53">
        <v>7.6000000000000014</v>
      </c>
      <c r="F306" s="53">
        <f t="shared" si="11"/>
        <v>5.2013333333333334</v>
      </c>
      <c r="G306" s="53">
        <f t="shared" si="12"/>
        <v>34.879999999999995</v>
      </c>
    </row>
    <row r="307" spans="1:7">
      <c r="A307" s="54">
        <v>43600</v>
      </c>
      <c r="D307" s="53">
        <v>6</v>
      </c>
      <c r="F307" s="53">
        <f t="shared" si="11"/>
        <v>6.0866666666666678</v>
      </c>
      <c r="G307" s="53">
        <f t="shared" si="12"/>
        <v>36.799999999999997</v>
      </c>
    </row>
    <row r="308" spans="1:7">
      <c r="A308" s="54">
        <v>43601</v>
      </c>
      <c r="D308" s="53">
        <v>7.8000000000000007</v>
      </c>
      <c r="F308" s="53">
        <f t="shared" si="11"/>
        <v>5.0906666666666665</v>
      </c>
      <c r="G308" s="53">
        <f t="shared" si="12"/>
        <v>34.64</v>
      </c>
    </row>
    <row r="309" spans="1:7">
      <c r="A309" s="54">
        <v>43602</v>
      </c>
      <c r="D309" s="53">
        <v>12</v>
      </c>
      <c r="F309" s="53">
        <f t="shared" si="11"/>
        <v>2.7666666666666666</v>
      </c>
      <c r="G309" s="53">
        <f t="shared" si="12"/>
        <v>29.6</v>
      </c>
    </row>
    <row r="310" spans="1:7">
      <c r="A310" s="54">
        <v>43603</v>
      </c>
      <c r="D310" s="53">
        <v>14.1</v>
      </c>
      <c r="F310" s="53">
        <f t="shared" si="11"/>
        <v>1.6046666666666669</v>
      </c>
      <c r="G310" s="53">
        <f t="shared" si="12"/>
        <v>27.08</v>
      </c>
    </row>
    <row r="311" spans="1:7">
      <c r="A311" s="54">
        <v>43604</v>
      </c>
      <c r="D311" s="53">
        <v>17.100000000000001</v>
      </c>
      <c r="F311" s="53">
        <f t="shared" si="11"/>
        <v>0</v>
      </c>
      <c r="G311" s="53">
        <f t="shared" si="12"/>
        <v>23.479999999999997</v>
      </c>
    </row>
    <row r="312" spans="1:7">
      <c r="A312" s="54">
        <v>43605</v>
      </c>
      <c r="D312" s="53">
        <v>14.4</v>
      </c>
      <c r="F312" s="53">
        <f t="shared" si="11"/>
        <v>1.4386666666666665</v>
      </c>
      <c r="G312" s="53">
        <f t="shared" si="12"/>
        <v>26.72</v>
      </c>
    </row>
    <row r="313" spans="1:7">
      <c r="A313" s="54">
        <v>43606</v>
      </c>
      <c r="D313" s="53">
        <v>15.2</v>
      </c>
      <c r="F313" s="53">
        <f t="shared" si="11"/>
        <v>0.99600000000000044</v>
      </c>
      <c r="G313" s="53">
        <f t="shared" si="12"/>
        <v>25.76</v>
      </c>
    </row>
    <row r="314" spans="1:7">
      <c r="A314" s="54">
        <v>43607</v>
      </c>
      <c r="D314" s="53">
        <v>13.100000000000001</v>
      </c>
      <c r="F314" s="53">
        <f t="shared" si="11"/>
        <v>2.1579999999999995</v>
      </c>
      <c r="G314" s="53">
        <f t="shared" si="12"/>
        <v>28.279999999999998</v>
      </c>
    </row>
    <row r="315" spans="1:7">
      <c r="A315" s="54">
        <v>43608</v>
      </c>
      <c r="D315" s="53">
        <v>13</v>
      </c>
      <c r="F315" s="53">
        <f t="shared" si="11"/>
        <v>2.2133333333333334</v>
      </c>
      <c r="G315" s="53">
        <f t="shared" si="12"/>
        <v>28.4</v>
      </c>
    </row>
    <row r="316" spans="1:7">
      <c r="A316" s="54">
        <v>43609</v>
      </c>
      <c r="D316" s="53">
        <v>14.5</v>
      </c>
      <c r="F316" s="53">
        <f t="shared" si="11"/>
        <v>1.3833333333333333</v>
      </c>
      <c r="G316" s="53">
        <f t="shared" si="12"/>
        <v>26.6</v>
      </c>
    </row>
    <row r="317" spans="1:7">
      <c r="A317" s="54">
        <v>43610</v>
      </c>
      <c r="D317" s="53">
        <v>16.399999999999999</v>
      </c>
      <c r="F317" s="53">
        <f t="shared" si="11"/>
        <v>0.33200000000000079</v>
      </c>
      <c r="G317" s="53">
        <f t="shared" si="12"/>
        <v>24.32</v>
      </c>
    </row>
    <row r="318" spans="1:7">
      <c r="A318" s="54">
        <v>43611</v>
      </c>
      <c r="D318" s="53">
        <v>16.8</v>
      </c>
      <c r="F318" s="53">
        <f t="shared" si="11"/>
        <v>0.11066666666666627</v>
      </c>
      <c r="G318" s="53">
        <f t="shared" si="12"/>
        <v>23.84</v>
      </c>
    </row>
    <row r="319" spans="1:7">
      <c r="A319" s="54">
        <v>43612</v>
      </c>
      <c r="D319" s="53">
        <v>18.3</v>
      </c>
      <c r="F319" s="53">
        <f t="shared" si="11"/>
        <v>0</v>
      </c>
      <c r="G319" s="53">
        <f t="shared" si="12"/>
        <v>22.04</v>
      </c>
    </row>
    <row r="320" spans="1:7">
      <c r="A320" s="54">
        <v>43613</v>
      </c>
      <c r="D320" s="53">
        <v>14.3</v>
      </c>
      <c r="F320" s="53">
        <f t="shared" si="11"/>
        <v>1.4939999999999998</v>
      </c>
      <c r="G320" s="53">
        <f t="shared" si="12"/>
        <v>26.84</v>
      </c>
    </row>
    <row r="321" spans="1:7">
      <c r="A321" s="54">
        <v>43614</v>
      </c>
      <c r="D321" s="53">
        <v>12.399999999999999</v>
      </c>
      <c r="F321" s="53">
        <f t="shared" si="11"/>
        <v>2.5453333333333341</v>
      </c>
      <c r="G321" s="53">
        <f t="shared" si="12"/>
        <v>29.12</v>
      </c>
    </row>
    <row r="322" spans="1:7">
      <c r="A322" s="54">
        <v>43615</v>
      </c>
      <c r="D322" s="53">
        <v>13.5</v>
      </c>
      <c r="F322" s="53">
        <f t="shared" si="11"/>
        <v>1.936666666666667</v>
      </c>
      <c r="G322" s="53">
        <f t="shared" si="12"/>
        <v>27.8</v>
      </c>
    </row>
    <row r="323" spans="1:7">
      <c r="A323" s="54">
        <v>43616</v>
      </c>
      <c r="D323" s="53">
        <v>16.8</v>
      </c>
      <c r="F323" s="53">
        <f t="shared" si="11"/>
        <v>0.11066666666666627</v>
      </c>
      <c r="G323" s="53">
        <f t="shared" si="12"/>
        <v>23.84</v>
      </c>
    </row>
    <row r="324" spans="1:7">
      <c r="A324" s="54">
        <v>43617</v>
      </c>
      <c r="D324" s="53">
        <v>20.3</v>
      </c>
      <c r="F324" s="53">
        <f t="shared" si="11"/>
        <v>0</v>
      </c>
      <c r="G324" s="53">
        <f t="shared" si="12"/>
        <v>19.64</v>
      </c>
    </row>
    <row r="325" spans="1:7">
      <c r="A325" s="54">
        <v>43618</v>
      </c>
      <c r="D325" s="53">
        <v>21.6</v>
      </c>
      <c r="F325" s="53">
        <f t="shared" si="11"/>
        <v>0</v>
      </c>
      <c r="G325" s="53">
        <f t="shared" si="12"/>
        <v>18.079999999999998</v>
      </c>
    </row>
    <row r="326" spans="1:7">
      <c r="A326" s="54">
        <v>43619</v>
      </c>
      <c r="D326" s="53">
        <v>22.8</v>
      </c>
      <c r="F326" s="53">
        <f t="shared" si="11"/>
        <v>0</v>
      </c>
      <c r="G326" s="53">
        <f t="shared" si="12"/>
        <v>16.64</v>
      </c>
    </row>
    <row r="327" spans="1:7">
      <c r="A327" s="54">
        <v>43620</v>
      </c>
      <c r="D327" s="53">
        <v>22.7</v>
      </c>
      <c r="F327" s="53">
        <f t="shared" si="11"/>
        <v>0</v>
      </c>
      <c r="G327" s="53">
        <f t="shared" si="12"/>
        <v>16.760000000000002</v>
      </c>
    </row>
    <row r="328" spans="1:7">
      <c r="A328" s="54">
        <v>43621</v>
      </c>
      <c r="D328" s="53">
        <v>23.1</v>
      </c>
      <c r="F328" s="53">
        <f t="shared" si="11"/>
        <v>0</v>
      </c>
      <c r="G328" s="53">
        <f t="shared" si="12"/>
        <v>16.279999999999998</v>
      </c>
    </row>
    <row r="329" spans="1:7">
      <c r="A329" s="54">
        <v>43622</v>
      </c>
      <c r="D329" s="53">
        <v>19.5</v>
      </c>
      <c r="F329" s="53">
        <f t="shared" si="11"/>
        <v>0</v>
      </c>
      <c r="G329" s="53">
        <f t="shared" si="12"/>
        <v>20.6</v>
      </c>
    </row>
    <row r="330" spans="1:7">
      <c r="A330" s="54">
        <v>43623</v>
      </c>
      <c r="D330" s="53">
        <v>18.7</v>
      </c>
      <c r="F330" s="53">
        <f t="shared" si="11"/>
        <v>0</v>
      </c>
      <c r="G330" s="53">
        <f t="shared" si="12"/>
        <v>21.560000000000002</v>
      </c>
    </row>
    <row r="331" spans="1:7">
      <c r="A331" s="54">
        <v>43624</v>
      </c>
      <c r="D331" s="53">
        <v>18.600000000000001</v>
      </c>
      <c r="F331" s="53">
        <f t="shared" si="11"/>
        <v>0</v>
      </c>
      <c r="G331" s="53">
        <f t="shared" si="12"/>
        <v>21.68</v>
      </c>
    </row>
    <row r="332" spans="1:7">
      <c r="A332" s="54">
        <v>43625</v>
      </c>
      <c r="D332" s="53">
        <v>18.600000000000001</v>
      </c>
      <c r="F332" s="53">
        <f t="shared" si="11"/>
        <v>0</v>
      </c>
      <c r="G332" s="53">
        <f t="shared" si="12"/>
        <v>21.68</v>
      </c>
    </row>
    <row r="333" spans="1:7">
      <c r="A333" s="54">
        <v>43626</v>
      </c>
      <c r="D333" s="53">
        <v>23</v>
      </c>
      <c r="F333" s="53">
        <f t="shared" si="11"/>
        <v>0</v>
      </c>
      <c r="G333" s="53">
        <f t="shared" si="12"/>
        <v>16.399999999999999</v>
      </c>
    </row>
    <row r="334" spans="1:7">
      <c r="A334" s="54">
        <v>43627</v>
      </c>
      <c r="D334" s="53">
        <v>25.2</v>
      </c>
      <c r="F334" s="53">
        <f t="shared" si="11"/>
        <v>0</v>
      </c>
      <c r="G334" s="53">
        <f t="shared" si="12"/>
        <v>13.760000000000002</v>
      </c>
    </row>
    <row r="335" spans="1:7">
      <c r="A335" s="54">
        <v>43628</v>
      </c>
      <c r="D335" s="53">
        <v>24.1</v>
      </c>
      <c r="F335" s="53">
        <f t="shared" si="11"/>
        <v>0</v>
      </c>
      <c r="G335" s="53">
        <f t="shared" si="12"/>
        <v>15.079999999999998</v>
      </c>
    </row>
    <row r="336" spans="1:7">
      <c r="A336" s="54">
        <v>43629</v>
      </c>
      <c r="D336" s="53">
        <v>20</v>
      </c>
      <c r="F336" s="53">
        <f t="shared" si="11"/>
        <v>0</v>
      </c>
      <c r="G336" s="53">
        <f t="shared" si="12"/>
        <v>20</v>
      </c>
    </row>
    <row r="337" spans="1:7">
      <c r="A337" s="54">
        <v>43630</v>
      </c>
      <c r="D337" s="53">
        <v>23.2</v>
      </c>
      <c r="F337" s="53">
        <f t="shared" si="11"/>
        <v>0</v>
      </c>
      <c r="G337" s="53">
        <f t="shared" si="12"/>
        <v>16.16</v>
      </c>
    </row>
    <row r="338" spans="1:7">
      <c r="A338" s="54">
        <v>43631</v>
      </c>
      <c r="D338" s="53">
        <v>24.2</v>
      </c>
      <c r="F338" s="53">
        <f t="shared" si="11"/>
        <v>0</v>
      </c>
      <c r="G338" s="53">
        <f t="shared" si="12"/>
        <v>14.96</v>
      </c>
    </row>
    <row r="339" spans="1:7">
      <c r="A339" s="54">
        <v>43632</v>
      </c>
      <c r="D339" s="53">
        <v>18.899999999999999</v>
      </c>
      <c r="F339" s="53">
        <f t="shared" ref="F339:F384" si="13">IF(F$2-D339&gt;0,(F$2-D339)*F$1/30,0)</f>
        <v>0</v>
      </c>
      <c r="G339" s="53">
        <f t="shared" ref="G339:G384" si="14">20+(20-D339)*1.2</f>
        <v>21.32</v>
      </c>
    </row>
    <row r="340" spans="1:7">
      <c r="A340" s="54">
        <v>43633</v>
      </c>
      <c r="D340" s="53">
        <v>20.100000000000001</v>
      </c>
      <c r="F340" s="53">
        <f t="shared" si="13"/>
        <v>0</v>
      </c>
      <c r="G340" s="53">
        <f t="shared" si="14"/>
        <v>19.88</v>
      </c>
    </row>
    <row r="341" spans="1:7">
      <c r="A341" s="54">
        <v>43634</v>
      </c>
      <c r="D341" s="53">
        <v>20.9</v>
      </c>
      <c r="F341" s="53">
        <f t="shared" si="13"/>
        <v>0</v>
      </c>
      <c r="G341" s="53">
        <f t="shared" si="14"/>
        <v>18.920000000000002</v>
      </c>
    </row>
    <row r="342" spans="1:7">
      <c r="A342" s="54">
        <v>43635</v>
      </c>
      <c r="D342" s="53">
        <v>21.4</v>
      </c>
      <c r="F342" s="53">
        <f t="shared" si="13"/>
        <v>0</v>
      </c>
      <c r="G342" s="53">
        <f t="shared" si="14"/>
        <v>18.32</v>
      </c>
    </row>
    <row r="343" spans="1:7">
      <c r="A343" s="54">
        <v>43636</v>
      </c>
      <c r="D343" s="53">
        <v>21.8</v>
      </c>
      <c r="F343" s="53">
        <f t="shared" si="13"/>
        <v>0</v>
      </c>
      <c r="G343" s="53">
        <f t="shared" si="14"/>
        <v>17.84</v>
      </c>
    </row>
    <row r="344" spans="1:7">
      <c r="A344" s="54">
        <v>43637</v>
      </c>
      <c r="D344" s="53">
        <v>21.2</v>
      </c>
      <c r="F344" s="53">
        <f t="shared" si="13"/>
        <v>0</v>
      </c>
      <c r="G344" s="53">
        <f t="shared" si="14"/>
        <v>18.560000000000002</v>
      </c>
    </row>
    <row r="345" spans="1:7">
      <c r="A345" s="54">
        <v>43638</v>
      </c>
      <c r="D345" s="53">
        <v>20.5</v>
      </c>
      <c r="F345" s="53">
        <f t="shared" si="13"/>
        <v>0</v>
      </c>
      <c r="G345" s="53">
        <f t="shared" si="14"/>
        <v>19.399999999999999</v>
      </c>
    </row>
    <row r="346" spans="1:7">
      <c r="A346" s="54">
        <v>43639</v>
      </c>
      <c r="D346" s="53">
        <v>20.6</v>
      </c>
      <c r="F346" s="53">
        <f t="shared" si="13"/>
        <v>0</v>
      </c>
      <c r="G346" s="53">
        <f t="shared" si="14"/>
        <v>19.279999999999998</v>
      </c>
    </row>
    <row r="347" spans="1:7">
      <c r="A347" s="54">
        <v>43640</v>
      </c>
      <c r="D347" s="53">
        <v>21.8</v>
      </c>
      <c r="F347" s="53">
        <f t="shared" si="13"/>
        <v>0</v>
      </c>
      <c r="G347" s="53">
        <f t="shared" si="14"/>
        <v>17.84</v>
      </c>
    </row>
    <row r="348" spans="1:7">
      <c r="A348" s="54">
        <v>43641</v>
      </c>
      <c r="D348" s="53">
        <v>24.4</v>
      </c>
      <c r="F348" s="53">
        <f t="shared" si="13"/>
        <v>0</v>
      </c>
      <c r="G348" s="53">
        <f t="shared" si="14"/>
        <v>14.720000000000002</v>
      </c>
    </row>
    <row r="349" spans="1:7">
      <c r="A349" s="54">
        <v>43642</v>
      </c>
      <c r="D349" s="53">
        <v>26.7</v>
      </c>
      <c r="F349" s="53">
        <f t="shared" si="13"/>
        <v>0</v>
      </c>
      <c r="G349" s="53">
        <f t="shared" si="14"/>
        <v>11.96</v>
      </c>
    </row>
    <row r="350" spans="1:7">
      <c r="A350" s="54">
        <v>43643</v>
      </c>
      <c r="D350" s="53">
        <v>25.1</v>
      </c>
      <c r="F350" s="53">
        <f t="shared" si="13"/>
        <v>0</v>
      </c>
      <c r="G350" s="53">
        <f t="shared" si="14"/>
        <v>13.879999999999999</v>
      </c>
    </row>
    <row r="351" spans="1:7">
      <c r="A351" s="54">
        <v>43644</v>
      </c>
      <c r="D351" s="53">
        <v>19.899999999999999</v>
      </c>
      <c r="F351" s="53">
        <f t="shared" si="13"/>
        <v>0</v>
      </c>
      <c r="G351" s="53">
        <f t="shared" si="14"/>
        <v>20.12</v>
      </c>
    </row>
    <row r="352" spans="1:7">
      <c r="A352" s="54">
        <v>43645</v>
      </c>
      <c r="D352" s="53">
        <v>21.2</v>
      </c>
      <c r="F352" s="53">
        <f t="shared" si="13"/>
        <v>0</v>
      </c>
      <c r="G352" s="53">
        <f t="shared" si="14"/>
        <v>18.560000000000002</v>
      </c>
    </row>
    <row r="353" spans="1:7">
      <c r="A353" s="54">
        <v>43646</v>
      </c>
      <c r="D353" s="53">
        <v>25</v>
      </c>
      <c r="F353" s="53">
        <f t="shared" si="13"/>
        <v>0</v>
      </c>
      <c r="G353" s="53">
        <f t="shared" si="14"/>
        <v>14</v>
      </c>
    </row>
    <row r="354" spans="1:7">
      <c r="A354" s="54">
        <v>43647</v>
      </c>
      <c r="D354" s="53">
        <v>26.8</v>
      </c>
      <c r="F354" s="53">
        <f t="shared" si="13"/>
        <v>0</v>
      </c>
      <c r="G354" s="53">
        <f t="shared" si="14"/>
        <v>11.84</v>
      </c>
    </row>
    <row r="355" spans="1:7">
      <c r="A355" s="54">
        <v>43648</v>
      </c>
      <c r="D355" s="53">
        <v>21.5</v>
      </c>
      <c r="F355" s="53">
        <f t="shared" si="13"/>
        <v>0</v>
      </c>
      <c r="G355" s="53">
        <f t="shared" si="14"/>
        <v>18.2</v>
      </c>
    </row>
    <row r="356" spans="1:7">
      <c r="A356" s="54">
        <v>43649</v>
      </c>
      <c r="D356" s="53">
        <v>17.8</v>
      </c>
      <c r="F356" s="53">
        <f t="shared" si="13"/>
        <v>0</v>
      </c>
      <c r="G356" s="53">
        <f t="shared" si="14"/>
        <v>22.64</v>
      </c>
    </row>
    <row r="357" spans="1:7">
      <c r="A357" s="54">
        <v>43650</v>
      </c>
      <c r="D357" s="53">
        <v>18.100000000000001</v>
      </c>
      <c r="F357" s="53">
        <f t="shared" si="13"/>
        <v>0</v>
      </c>
      <c r="G357" s="53">
        <f t="shared" si="14"/>
        <v>22.279999999999998</v>
      </c>
    </row>
    <row r="358" spans="1:7">
      <c r="A358" s="54">
        <v>43651</v>
      </c>
      <c r="D358" s="53">
        <v>19.600000000000001</v>
      </c>
      <c r="F358" s="53">
        <f t="shared" si="13"/>
        <v>0</v>
      </c>
      <c r="G358" s="53">
        <f t="shared" si="14"/>
        <v>20.479999999999997</v>
      </c>
    </row>
    <row r="359" spans="1:7">
      <c r="A359" s="54">
        <v>43652</v>
      </c>
      <c r="D359" s="53">
        <v>22.9</v>
      </c>
      <c r="F359" s="53">
        <f t="shared" si="13"/>
        <v>0</v>
      </c>
      <c r="G359" s="53">
        <f t="shared" si="14"/>
        <v>16.520000000000003</v>
      </c>
    </row>
    <row r="360" spans="1:7">
      <c r="A360" s="54">
        <v>43653</v>
      </c>
      <c r="D360" s="53">
        <v>17.399999999999999</v>
      </c>
      <c r="F360" s="53">
        <f t="shared" si="13"/>
        <v>0</v>
      </c>
      <c r="G360" s="53">
        <f t="shared" si="14"/>
        <v>23.12</v>
      </c>
    </row>
    <row r="361" spans="1:7">
      <c r="A361" s="54">
        <v>43654</v>
      </c>
      <c r="D361" s="53">
        <v>15.8</v>
      </c>
      <c r="F361" s="53">
        <f t="shared" si="13"/>
        <v>0.6639999999999997</v>
      </c>
      <c r="G361" s="53">
        <f t="shared" si="14"/>
        <v>25.04</v>
      </c>
    </row>
    <row r="362" spans="1:7">
      <c r="A362" s="54">
        <v>43655</v>
      </c>
      <c r="D362" s="53">
        <v>14.7</v>
      </c>
      <c r="F362" s="53">
        <f t="shared" si="13"/>
        <v>1.2726666666666671</v>
      </c>
      <c r="G362" s="53">
        <f t="shared" si="14"/>
        <v>26.36</v>
      </c>
    </row>
    <row r="363" spans="1:7">
      <c r="A363" s="54">
        <v>43656</v>
      </c>
      <c r="D363" s="53">
        <v>17</v>
      </c>
      <c r="F363" s="53">
        <f t="shared" si="13"/>
        <v>0</v>
      </c>
      <c r="G363" s="53">
        <f t="shared" si="14"/>
        <v>23.6</v>
      </c>
    </row>
    <row r="364" spans="1:7">
      <c r="A364" s="54">
        <v>43657</v>
      </c>
      <c r="D364" s="53">
        <v>18</v>
      </c>
      <c r="F364" s="53">
        <f t="shared" si="13"/>
        <v>0</v>
      </c>
      <c r="G364" s="53">
        <f t="shared" si="14"/>
        <v>22.4</v>
      </c>
    </row>
    <row r="365" spans="1:7">
      <c r="A365" s="54">
        <v>43658</v>
      </c>
      <c r="D365" s="53">
        <v>17</v>
      </c>
      <c r="F365" s="53">
        <f t="shared" si="13"/>
        <v>0</v>
      </c>
      <c r="G365" s="53">
        <f t="shared" si="14"/>
        <v>23.6</v>
      </c>
    </row>
    <row r="366" spans="1:7">
      <c r="A366" s="54">
        <v>43659</v>
      </c>
      <c r="D366" s="53">
        <v>16.5</v>
      </c>
      <c r="F366" s="53">
        <f t="shared" si="13"/>
        <v>0.27666666666666667</v>
      </c>
      <c r="G366" s="53">
        <f t="shared" si="14"/>
        <v>24.2</v>
      </c>
    </row>
    <row r="367" spans="1:7">
      <c r="A367" s="54">
        <v>43660</v>
      </c>
      <c r="D367" s="53">
        <v>17.399999999999999</v>
      </c>
      <c r="F367" s="53">
        <f t="shared" si="13"/>
        <v>0</v>
      </c>
      <c r="G367" s="53">
        <f t="shared" si="14"/>
        <v>23.12</v>
      </c>
    </row>
    <row r="368" spans="1:7">
      <c r="A368" s="54">
        <v>43661</v>
      </c>
      <c r="D368" s="53">
        <v>17.2</v>
      </c>
      <c r="F368" s="53">
        <f t="shared" si="13"/>
        <v>0</v>
      </c>
      <c r="G368" s="53">
        <f t="shared" si="14"/>
        <v>23.36</v>
      </c>
    </row>
    <row r="369" spans="1:7">
      <c r="A369" s="54">
        <v>43662</v>
      </c>
      <c r="D369" s="53">
        <v>16.3</v>
      </c>
      <c r="F369" s="53">
        <f t="shared" si="13"/>
        <v>0.38733333333333297</v>
      </c>
      <c r="G369" s="53">
        <f t="shared" si="14"/>
        <v>24.439999999999998</v>
      </c>
    </row>
    <row r="370" spans="1:7">
      <c r="A370" s="54">
        <v>43663</v>
      </c>
      <c r="D370" s="53">
        <v>17.600000000000001</v>
      </c>
      <c r="F370" s="53">
        <f t="shared" si="13"/>
        <v>0</v>
      </c>
      <c r="G370" s="53">
        <f t="shared" si="14"/>
        <v>22.88</v>
      </c>
    </row>
    <row r="371" spans="1:7">
      <c r="A371" s="54">
        <v>43664</v>
      </c>
      <c r="D371" s="53">
        <v>19.899999999999999</v>
      </c>
      <c r="F371" s="53">
        <f t="shared" si="13"/>
        <v>0</v>
      </c>
      <c r="G371" s="53">
        <f t="shared" si="14"/>
        <v>20.12</v>
      </c>
    </row>
    <row r="372" spans="1:7">
      <c r="A372" s="54">
        <v>43665</v>
      </c>
      <c r="D372" s="53">
        <v>20</v>
      </c>
      <c r="F372" s="53">
        <f t="shared" si="13"/>
        <v>0</v>
      </c>
      <c r="G372" s="53">
        <f t="shared" si="14"/>
        <v>20</v>
      </c>
    </row>
    <row r="373" spans="1:7">
      <c r="A373" s="54">
        <v>43666</v>
      </c>
      <c r="D373" s="53">
        <v>24.1</v>
      </c>
      <c r="F373" s="53">
        <f t="shared" si="13"/>
        <v>0</v>
      </c>
      <c r="G373" s="53">
        <f t="shared" si="14"/>
        <v>15.079999999999998</v>
      </c>
    </row>
    <row r="374" spans="1:7">
      <c r="A374" s="54">
        <v>43667</v>
      </c>
      <c r="D374" s="53">
        <v>20.399999999999999</v>
      </c>
      <c r="F374" s="53">
        <f t="shared" si="13"/>
        <v>0</v>
      </c>
      <c r="G374" s="53">
        <f t="shared" si="14"/>
        <v>19.520000000000003</v>
      </c>
    </row>
    <row r="375" spans="1:7">
      <c r="A375" s="54">
        <v>43668</v>
      </c>
      <c r="D375" s="53">
        <v>22</v>
      </c>
      <c r="F375" s="53">
        <f t="shared" si="13"/>
        <v>0</v>
      </c>
      <c r="G375" s="53">
        <f t="shared" si="14"/>
        <v>17.600000000000001</v>
      </c>
    </row>
    <row r="376" spans="1:7">
      <c r="A376" s="54">
        <v>43669</v>
      </c>
      <c r="D376" s="53">
        <v>25.3</v>
      </c>
      <c r="F376" s="53">
        <f t="shared" si="13"/>
        <v>0</v>
      </c>
      <c r="G376" s="53">
        <f t="shared" si="14"/>
        <v>13.64</v>
      </c>
    </row>
    <row r="377" spans="1:7">
      <c r="A377" s="54">
        <v>43670</v>
      </c>
      <c r="D377" s="53">
        <v>24.8</v>
      </c>
      <c r="F377" s="53">
        <f t="shared" si="13"/>
        <v>0</v>
      </c>
      <c r="G377" s="53">
        <f t="shared" si="14"/>
        <v>14.239999999999998</v>
      </c>
    </row>
    <row r="378" spans="1:7">
      <c r="A378" s="54">
        <v>43671</v>
      </c>
      <c r="D378" s="53">
        <v>25.8</v>
      </c>
      <c r="F378" s="53">
        <f t="shared" si="13"/>
        <v>0</v>
      </c>
      <c r="G378" s="53">
        <f t="shared" si="14"/>
        <v>13.04</v>
      </c>
    </row>
    <row r="379" spans="1:7">
      <c r="A379" s="54">
        <v>43672</v>
      </c>
      <c r="D379" s="53">
        <v>25.6</v>
      </c>
      <c r="F379" s="53">
        <f t="shared" si="13"/>
        <v>0</v>
      </c>
      <c r="G379" s="53">
        <f t="shared" si="14"/>
        <v>13.279999999999998</v>
      </c>
    </row>
    <row r="380" spans="1:7">
      <c r="A380" s="54">
        <v>43673</v>
      </c>
      <c r="D380" s="53">
        <v>23</v>
      </c>
      <c r="F380" s="53">
        <f t="shared" si="13"/>
        <v>0</v>
      </c>
      <c r="G380" s="53">
        <f t="shared" si="14"/>
        <v>16.399999999999999</v>
      </c>
    </row>
    <row r="381" spans="1:7">
      <c r="A381" s="54">
        <v>43674</v>
      </c>
      <c r="D381" s="53">
        <v>22.5</v>
      </c>
      <c r="F381" s="53">
        <f t="shared" si="13"/>
        <v>0</v>
      </c>
      <c r="G381" s="53">
        <f t="shared" si="14"/>
        <v>17</v>
      </c>
    </row>
    <row r="382" spans="1:7">
      <c r="A382" s="54">
        <v>43675</v>
      </c>
      <c r="D382" s="53">
        <v>24.2</v>
      </c>
      <c r="F382" s="53">
        <f t="shared" si="13"/>
        <v>0</v>
      </c>
      <c r="G382" s="53">
        <f t="shared" si="14"/>
        <v>14.96</v>
      </c>
    </row>
    <row r="383" spans="1:7">
      <c r="A383" s="54">
        <v>43676</v>
      </c>
      <c r="D383" s="53">
        <v>23.8</v>
      </c>
      <c r="F383" s="53">
        <f t="shared" si="13"/>
        <v>0</v>
      </c>
      <c r="G383" s="53">
        <f t="shared" si="14"/>
        <v>15.44</v>
      </c>
    </row>
    <row r="384" spans="1:7">
      <c r="A384" s="54">
        <v>43677</v>
      </c>
      <c r="D384" s="53">
        <v>20.6</v>
      </c>
      <c r="F384" s="53">
        <f t="shared" si="13"/>
        <v>0</v>
      </c>
      <c r="G384" s="53">
        <f t="shared" si="14"/>
        <v>19.279999999999998</v>
      </c>
    </row>
  </sheetData>
  <hyperlinks>
    <hyperlink ref="K1" r:id="rId1"/>
    <hyperlink ref="N10" r:id="rId2" location="text77"/>
  </hyperlinks>
  <pageMargins left="0.78740157499999996" right="0.78740157499999996" top="0.984251969" bottom="0.984251969" header="0.5" footer="0.5"/>
  <pageSetup paperSize="9" scale="0" firstPageNumber="0" fitToWidth="0" fitToHeight="0" pageOrder="overThenDown" orientation="portrait" horizontalDpi="300" verticalDpi="300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72"/>
  <sheetViews>
    <sheetView workbookViewId="0">
      <selection activeCell="A2" sqref="A2"/>
    </sheetView>
  </sheetViews>
  <sheetFormatPr defaultRowHeight="15"/>
  <cols>
    <col min="1" max="1" width="12.7109375" style="141" customWidth="1"/>
    <col min="2" max="16384" width="9.140625" style="141"/>
  </cols>
  <sheetData>
    <row r="1" spans="1:14">
      <c r="A1" s="141" t="s">
        <v>1547</v>
      </c>
      <c r="D1" s="152"/>
      <c r="E1" s="144">
        <v>0</v>
      </c>
      <c r="F1" s="144"/>
      <c r="G1" s="141" t="s">
        <v>8</v>
      </c>
      <c r="H1" s="146" t="s">
        <v>1523</v>
      </c>
      <c r="I1" s="146"/>
    </row>
    <row r="2" spans="1:14">
      <c r="D2" s="152"/>
      <c r="E2" s="3">
        <v>9</v>
      </c>
      <c r="F2" s="141" t="s">
        <v>5</v>
      </c>
      <c r="H2" s="146" t="s">
        <v>1522</v>
      </c>
    </row>
    <row r="3" spans="1:14">
      <c r="D3" s="31">
        <v>0.7</v>
      </c>
      <c r="E3" s="3">
        <v>14</v>
      </c>
      <c r="F3" s="141" t="s">
        <v>6</v>
      </c>
      <c r="J3" s="141" t="s">
        <v>1521</v>
      </c>
    </row>
    <row r="4" spans="1:14">
      <c r="B4" s="141" t="s">
        <v>1520</v>
      </c>
      <c r="D4" s="152" t="s">
        <v>1</v>
      </c>
      <c r="E4" s="141" t="s">
        <v>2</v>
      </c>
      <c r="F4" s="141" t="s">
        <v>1519</v>
      </c>
      <c r="G4" s="141" t="s">
        <v>1518</v>
      </c>
      <c r="J4" s="141" t="s">
        <v>1517</v>
      </c>
    </row>
    <row r="5" spans="1:14">
      <c r="A5" s="142">
        <v>42735</v>
      </c>
      <c r="C5" s="141" t="s">
        <v>1516</v>
      </c>
      <c r="D5" s="152"/>
      <c r="E5" s="141">
        <f t="shared" ref="E5:E36" si="0">E$1+(IF(E$3-$B5&gt;0,E$3-$B5,0)*E$2/30)</f>
        <v>4.2</v>
      </c>
      <c r="G5" s="124"/>
      <c r="J5" s="141" t="s">
        <v>1515</v>
      </c>
      <c r="N5" s="141" t="s">
        <v>1514</v>
      </c>
    </row>
    <row r="6" spans="1:14">
      <c r="A6" s="142">
        <v>42766</v>
      </c>
      <c r="B6" s="141">
        <v>-4.6645161290322701</v>
      </c>
      <c r="D6" s="152">
        <f t="shared" ref="D6:D34" si="1">C6*10.7*D$3/(A6-A5)/24</f>
        <v>0</v>
      </c>
      <c r="E6" s="141">
        <f t="shared" si="0"/>
        <v>5.5993548387096821</v>
      </c>
      <c r="G6" s="124">
        <f t="shared" ref="G6:G37" si="2">G5+E6*24*(A6-A5)/D$3/10.7</f>
        <v>556.19759679572815</v>
      </c>
    </row>
    <row r="7" spans="1:14">
      <c r="A7" s="142">
        <v>42794</v>
      </c>
      <c r="B7" s="141">
        <v>1.9642857142856818</v>
      </c>
      <c r="D7" s="152">
        <f t="shared" si="1"/>
        <v>0</v>
      </c>
      <c r="E7" s="141">
        <f t="shared" si="0"/>
        <v>3.6107142857142955</v>
      </c>
      <c r="G7" s="124">
        <f t="shared" si="2"/>
        <v>880.14953271028185</v>
      </c>
      <c r="K7" s="141" t="s">
        <v>1513</v>
      </c>
      <c r="L7" s="141" t="s">
        <v>1512</v>
      </c>
    </row>
    <row r="8" spans="1:14">
      <c r="A8" s="142">
        <v>42825</v>
      </c>
      <c r="B8" s="141">
        <v>7.2516129032258414</v>
      </c>
      <c r="D8" s="152">
        <f t="shared" si="1"/>
        <v>0</v>
      </c>
      <c r="E8" s="141">
        <f t="shared" si="0"/>
        <v>2.0245161290322478</v>
      </c>
      <c r="G8" s="124">
        <f t="shared" si="2"/>
        <v>1081.2496662216292</v>
      </c>
      <c r="J8" s="141">
        <v>2019</v>
      </c>
      <c r="K8" s="124">
        <f>G41-G29</f>
        <v>1715.8878504673112</v>
      </c>
      <c r="L8" s="141">
        <v>2315</v>
      </c>
    </row>
    <row r="9" spans="1:14">
      <c r="A9" s="142">
        <v>42855</v>
      </c>
      <c r="B9" s="141">
        <v>8.2133333333333205</v>
      </c>
      <c r="D9" s="152">
        <f t="shared" si="1"/>
        <v>0</v>
      </c>
      <c r="E9" s="141">
        <f t="shared" si="0"/>
        <v>1.7360000000000038</v>
      </c>
      <c r="G9" s="124">
        <f t="shared" si="2"/>
        <v>1248.1281708945269</v>
      </c>
      <c r="J9" s="141">
        <v>2020</v>
      </c>
      <c r="K9" s="124">
        <f>G53-G41</f>
        <v>1731.4606141521899</v>
      </c>
      <c r="L9" s="141">
        <v>1350</v>
      </c>
    </row>
    <row r="10" spans="1:14">
      <c r="A10" s="142">
        <v>42886</v>
      </c>
      <c r="B10" s="141">
        <v>14.832258064516134</v>
      </c>
      <c r="D10" s="152">
        <f t="shared" si="1"/>
        <v>0</v>
      </c>
      <c r="E10" s="141">
        <f t="shared" si="0"/>
        <v>0</v>
      </c>
      <c r="G10" s="124">
        <f t="shared" si="2"/>
        <v>1248.1281708945269</v>
      </c>
      <c r="J10" s="141">
        <v>2021</v>
      </c>
      <c r="K10" s="124">
        <f>G65-G53</f>
        <v>2161.73030707608</v>
      </c>
      <c r="L10" s="141">
        <v>853</v>
      </c>
    </row>
    <row r="11" spans="1:14">
      <c r="A11" s="142">
        <v>42916</v>
      </c>
      <c r="B11" s="141">
        <v>19.27666666666661</v>
      </c>
      <c r="D11" s="152">
        <f t="shared" si="1"/>
        <v>0</v>
      </c>
      <c r="E11" s="141">
        <f t="shared" si="0"/>
        <v>0</v>
      </c>
      <c r="G11" s="124">
        <f t="shared" si="2"/>
        <v>1248.1281708945269</v>
      </c>
    </row>
    <row r="12" spans="1:14">
      <c r="A12" s="142">
        <v>42947</v>
      </c>
      <c r="B12" s="141">
        <v>19.838709677419356</v>
      </c>
      <c r="D12" s="152">
        <f t="shared" si="1"/>
        <v>0</v>
      </c>
      <c r="E12" s="141">
        <f t="shared" si="0"/>
        <v>0</v>
      </c>
      <c r="G12" s="124">
        <f t="shared" si="2"/>
        <v>1248.1281708945269</v>
      </c>
    </row>
    <row r="13" spans="1:14">
      <c r="A13" s="142">
        <v>42978</v>
      </c>
      <c r="B13" s="141">
        <v>19.741935483870968</v>
      </c>
      <c r="D13" s="152">
        <f t="shared" si="1"/>
        <v>0</v>
      </c>
      <c r="E13" s="141">
        <f t="shared" si="0"/>
        <v>0</v>
      </c>
      <c r="G13" s="124">
        <f t="shared" si="2"/>
        <v>1248.1281708945269</v>
      </c>
    </row>
    <row r="14" spans="1:14">
      <c r="A14" s="142">
        <v>43008</v>
      </c>
      <c r="B14" s="141">
        <v>13.086666666666861</v>
      </c>
      <c r="D14" s="152">
        <f t="shared" si="1"/>
        <v>0</v>
      </c>
      <c r="E14" s="141">
        <f t="shared" si="0"/>
        <v>0.27399999999994157</v>
      </c>
      <c r="G14" s="124">
        <f t="shared" si="2"/>
        <v>1274.4672897196215</v>
      </c>
    </row>
    <row r="15" spans="1:14">
      <c r="A15" s="142">
        <v>43039</v>
      </c>
      <c r="B15" s="141">
        <v>10.935483870967801</v>
      </c>
      <c r="D15" s="152">
        <f t="shared" si="1"/>
        <v>0</v>
      </c>
      <c r="E15" s="141">
        <f t="shared" si="0"/>
        <v>0.91935483870965984</v>
      </c>
      <c r="G15" s="124">
        <f t="shared" si="2"/>
        <v>1365.7890520694195</v>
      </c>
    </row>
    <row r="16" spans="1:14">
      <c r="A16" s="142">
        <v>43069</v>
      </c>
      <c r="B16" s="141">
        <v>4.8533333333334063</v>
      </c>
      <c r="D16" s="152">
        <f t="shared" si="1"/>
        <v>0</v>
      </c>
      <c r="E16" s="141">
        <f t="shared" si="0"/>
        <v>2.743999999999978</v>
      </c>
      <c r="G16" s="124">
        <f t="shared" si="2"/>
        <v>1629.5647530039969</v>
      </c>
    </row>
    <row r="17" spans="1:7">
      <c r="A17" s="142">
        <v>43100</v>
      </c>
      <c r="B17" s="141">
        <v>2.0709677419356245</v>
      </c>
      <c r="D17" s="152">
        <f t="shared" si="1"/>
        <v>0</v>
      </c>
      <c r="E17" s="141">
        <f t="shared" si="0"/>
        <v>3.5787096774193126</v>
      </c>
      <c r="G17" s="124">
        <f t="shared" si="2"/>
        <v>1985.04672897195</v>
      </c>
    </row>
    <row r="18" spans="1:7">
      <c r="A18" s="142">
        <v>43131</v>
      </c>
      <c r="B18" s="141">
        <v>3.2967741935483521</v>
      </c>
      <c r="D18" s="152">
        <f t="shared" si="1"/>
        <v>0</v>
      </c>
      <c r="E18" s="141">
        <f t="shared" si="0"/>
        <v>3.2109677419354949</v>
      </c>
      <c r="G18" s="124">
        <f t="shared" si="2"/>
        <v>2303.9999999999886</v>
      </c>
    </row>
    <row r="19" spans="1:7">
      <c r="A19" s="142">
        <v>43159</v>
      </c>
      <c r="B19" s="141">
        <v>-2.0607142857143117</v>
      </c>
      <c r="D19" s="152">
        <f t="shared" si="1"/>
        <v>0</v>
      </c>
      <c r="E19" s="141">
        <f t="shared" si="0"/>
        <v>4.8182142857142933</v>
      </c>
      <c r="G19" s="124">
        <f t="shared" si="2"/>
        <v>2736.288384512673</v>
      </c>
    </row>
    <row r="20" spans="1:7">
      <c r="A20" s="142">
        <v>43190</v>
      </c>
      <c r="B20" s="141">
        <v>1.9032258064517302</v>
      </c>
      <c r="D20" s="152">
        <f t="shared" si="1"/>
        <v>0</v>
      </c>
      <c r="E20" s="141">
        <f t="shared" si="0"/>
        <v>3.6290322580644814</v>
      </c>
      <c r="G20" s="124">
        <f t="shared" si="2"/>
        <v>3096.7690253671421</v>
      </c>
    </row>
    <row r="21" spans="1:7">
      <c r="A21" s="142">
        <v>43220</v>
      </c>
      <c r="B21" s="141">
        <v>13.7</v>
      </c>
      <c r="D21" s="152">
        <f t="shared" si="1"/>
        <v>0</v>
      </c>
      <c r="E21" s="141">
        <f t="shared" si="0"/>
        <v>9.0000000000000219E-2</v>
      </c>
      <c r="G21" s="124">
        <f t="shared" si="2"/>
        <v>3105.4205607476497</v>
      </c>
    </row>
    <row r="22" spans="1:7">
      <c r="A22" s="142">
        <v>43251</v>
      </c>
      <c r="B22" s="141">
        <v>17.258064516128975</v>
      </c>
      <c r="D22" s="152">
        <f t="shared" si="1"/>
        <v>0</v>
      </c>
      <c r="E22" s="141">
        <f t="shared" si="0"/>
        <v>0</v>
      </c>
      <c r="G22" s="124">
        <f t="shared" si="2"/>
        <v>3105.4205607476497</v>
      </c>
    </row>
    <row r="23" spans="1:7">
      <c r="A23" s="142">
        <v>43281</v>
      </c>
      <c r="B23" s="141">
        <v>18.956666666666692</v>
      </c>
      <c r="D23" s="152">
        <f t="shared" si="1"/>
        <v>0</v>
      </c>
      <c r="E23" s="141">
        <f t="shared" si="0"/>
        <v>0</v>
      </c>
      <c r="G23" s="124">
        <f t="shared" si="2"/>
        <v>3105.4205607476497</v>
      </c>
    </row>
    <row r="24" spans="1:7">
      <c r="A24" s="142">
        <v>43312</v>
      </c>
      <c r="B24" s="141">
        <v>21.558064516128891</v>
      </c>
      <c r="D24" s="152">
        <f t="shared" si="1"/>
        <v>0</v>
      </c>
      <c r="E24" s="141">
        <f t="shared" si="0"/>
        <v>0</v>
      </c>
      <c r="G24" s="124">
        <f t="shared" si="2"/>
        <v>3105.4205607476497</v>
      </c>
    </row>
    <row r="25" spans="1:7">
      <c r="A25" s="142">
        <v>43343</v>
      </c>
      <c r="B25" s="141">
        <v>22.174193548387144</v>
      </c>
      <c r="D25" s="152">
        <f t="shared" si="1"/>
        <v>0</v>
      </c>
      <c r="E25" s="141">
        <f t="shared" si="0"/>
        <v>0</v>
      </c>
      <c r="G25" s="124">
        <f t="shared" si="2"/>
        <v>3105.4205607476497</v>
      </c>
    </row>
    <row r="26" spans="1:7">
      <c r="A26" s="142">
        <v>43373</v>
      </c>
      <c r="B26" s="141">
        <v>16.290000000000084</v>
      </c>
      <c r="D26" s="152">
        <f t="shared" si="1"/>
        <v>0</v>
      </c>
      <c r="E26" s="141">
        <f t="shared" si="0"/>
        <v>0</v>
      </c>
      <c r="G26" s="124">
        <f t="shared" si="2"/>
        <v>3105.4205607476497</v>
      </c>
    </row>
    <row r="27" spans="1:7">
      <c r="A27" s="142">
        <v>43404</v>
      </c>
      <c r="B27" s="141">
        <v>10.941935483870932</v>
      </c>
      <c r="D27" s="152">
        <f t="shared" si="1"/>
        <v>0</v>
      </c>
      <c r="E27" s="141">
        <f t="shared" si="0"/>
        <v>0.9174193548387205</v>
      </c>
      <c r="G27" s="124">
        <f t="shared" si="2"/>
        <v>3196.5500667556616</v>
      </c>
    </row>
    <row r="28" spans="1:7">
      <c r="A28" s="142">
        <v>43434</v>
      </c>
      <c r="B28" s="141">
        <v>4.6500000000000608</v>
      </c>
      <c r="D28" s="152">
        <f t="shared" si="1"/>
        <v>0</v>
      </c>
      <c r="E28" s="141">
        <f t="shared" si="0"/>
        <v>2.8049999999999815</v>
      </c>
      <c r="G28" s="124">
        <f t="shared" si="2"/>
        <v>3466.1895861148055</v>
      </c>
    </row>
    <row r="29" spans="1:7">
      <c r="A29" s="142">
        <v>43465</v>
      </c>
      <c r="B29" s="141">
        <v>2.980645161290076</v>
      </c>
      <c r="D29" s="152">
        <f t="shared" si="1"/>
        <v>0</v>
      </c>
      <c r="E29" s="141">
        <f t="shared" si="0"/>
        <v>3.3058064516129777</v>
      </c>
      <c r="G29" s="124">
        <f t="shared" si="2"/>
        <v>3794.5634178905138</v>
      </c>
    </row>
    <row r="30" spans="1:7">
      <c r="A30" s="142">
        <v>43496</v>
      </c>
      <c r="B30" s="141">
        <v>0.16129032258052781</v>
      </c>
      <c r="C30" s="141">
        <v>455</v>
      </c>
      <c r="D30" s="152">
        <f t="shared" si="1"/>
        <v>4.5805779569892469</v>
      </c>
      <c r="E30" s="141">
        <f t="shared" si="0"/>
        <v>4.1516129032258418</v>
      </c>
      <c r="F30" s="141">
        <f>D30-E30</f>
        <v>0.4289650537634051</v>
      </c>
      <c r="G30" s="124">
        <f t="shared" si="2"/>
        <v>4206.9532710280337</v>
      </c>
    </row>
    <row r="31" spans="1:7">
      <c r="A31" s="142">
        <v>43524</v>
      </c>
      <c r="B31" s="141">
        <v>2.7857142857143509</v>
      </c>
      <c r="C31" s="141">
        <v>394</v>
      </c>
      <c r="D31" s="152">
        <f t="shared" si="1"/>
        <v>4.3914583333333326</v>
      </c>
      <c r="E31" s="141">
        <f t="shared" si="0"/>
        <v>3.3642857142856948</v>
      </c>
      <c r="F31" s="141">
        <f>D31-E31</f>
        <v>1.0271726190476378</v>
      </c>
      <c r="G31" s="124">
        <f t="shared" si="2"/>
        <v>4508.7957276368434</v>
      </c>
    </row>
    <row r="32" spans="1:7">
      <c r="A32" s="142">
        <v>43555</v>
      </c>
      <c r="B32" s="141">
        <v>7.3999999999999293</v>
      </c>
      <c r="C32" s="141">
        <v>372</v>
      </c>
      <c r="D32" s="152">
        <f t="shared" si="1"/>
        <v>3.7449999999999997</v>
      </c>
      <c r="E32" s="141">
        <f t="shared" si="0"/>
        <v>1.9800000000000213</v>
      </c>
      <c r="F32" s="141">
        <f>D32-E32</f>
        <v>1.7649999999999784</v>
      </c>
      <c r="G32" s="124">
        <f t="shared" si="2"/>
        <v>4705.4739652870458</v>
      </c>
    </row>
    <row r="33" spans="1:7">
      <c r="A33" s="142">
        <v>43585</v>
      </c>
      <c r="B33" s="141">
        <v>10.726666666666764</v>
      </c>
      <c r="C33" s="141">
        <v>204</v>
      </c>
      <c r="D33" s="152">
        <f t="shared" si="1"/>
        <v>2.1221666666666663</v>
      </c>
      <c r="E33" s="141">
        <f t="shared" si="0"/>
        <v>0.98199999999997067</v>
      </c>
      <c r="F33" s="141">
        <f>D33-E33</f>
        <v>1.1401666666666956</v>
      </c>
      <c r="G33" s="124">
        <f t="shared" si="2"/>
        <v>4799.8718291054674</v>
      </c>
    </row>
    <row r="34" spans="1:7">
      <c r="A34" s="142">
        <v>43616</v>
      </c>
      <c r="B34" s="141">
        <v>12.003225806451448</v>
      </c>
      <c r="C34" s="141">
        <v>192</v>
      </c>
      <c r="D34" s="152">
        <f t="shared" si="1"/>
        <v>1.9329032258064514</v>
      </c>
      <c r="E34" s="141">
        <f t="shared" si="0"/>
        <v>0.59903225806456561</v>
      </c>
      <c r="F34" s="141">
        <f>D34-E34</f>
        <v>1.3338709677418858</v>
      </c>
      <c r="G34" s="124">
        <f t="shared" si="2"/>
        <v>4859.3751668891837</v>
      </c>
    </row>
    <row r="35" spans="1:7">
      <c r="A35" s="142">
        <v>43646</v>
      </c>
      <c r="B35" s="141">
        <v>21.836666666666861</v>
      </c>
      <c r="D35" s="152"/>
      <c r="E35" s="141">
        <f t="shared" si="0"/>
        <v>0</v>
      </c>
      <c r="G35" s="124">
        <f t="shared" si="2"/>
        <v>4859.3751668891837</v>
      </c>
    </row>
    <row r="36" spans="1:7">
      <c r="A36" s="142">
        <v>43677</v>
      </c>
      <c r="B36" s="141">
        <v>20.43870967741919</v>
      </c>
      <c r="D36" s="152"/>
      <c r="E36" s="141">
        <f t="shared" si="0"/>
        <v>0</v>
      </c>
      <c r="G36" s="124">
        <f t="shared" si="2"/>
        <v>4859.3751668891837</v>
      </c>
    </row>
    <row r="37" spans="1:7">
      <c r="A37" s="142">
        <v>43708</v>
      </c>
      <c r="B37" s="141">
        <v>20.251612903225784</v>
      </c>
      <c r="D37" s="152"/>
      <c r="E37" s="141">
        <f t="shared" ref="E37:E72" si="3">E$1+(IF(E$3-$B37&gt;0,E$3-$B37,0)*E$2/30)</f>
        <v>0</v>
      </c>
      <c r="G37" s="124">
        <f t="shared" si="2"/>
        <v>4859.3751668891837</v>
      </c>
    </row>
    <row r="38" spans="1:7">
      <c r="A38" s="142">
        <v>43738</v>
      </c>
      <c r="B38" s="141">
        <v>14.953333333333164</v>
      </c>
      <c r="D38" s="152"/>
      <c r="E38" s="141">
        <f t="shared" si="3"/>
        <v>0</v>
      </c>
      <c r="G38" s="124">
        <f t="shared" ref="G38:G72" si="4">G37+E38*24*(A38-A37)/D$3/10.7</f>
        <v>4859.3751668891837</v>
      </c>
    </row>
    <row r="39" spans="1:7">
      <c r="A39" s="142">
        <v>43769</v>
      </c>
      <c r="B39" s="141">
        <v>10.574193548386956</v>
      </c>
      <c r="D39" s="152"/>
      <c r="E39" s="141">
        <f t="shared" si="3"/>
        <v>1.027741935483913</v>
      </c>
      <c r="G39" s="124">
        <f t="shared" si="4"/>
        <v>4961.4632843791742</v>
      </c>
    </row>
    <row r="40" spans="1:7">
      <c r="A40" s="142">
        <v>43799</v>
      </c>
      <c r="B40" s="141">
        <v>6.2733333333332366</v>
      </c>
      <c r="D40" s="152"/>
      <c r="E40" s="141">
        <f t="shared" si="3"/>
        <v>2.3180000000000289</v>
      </c>
      <c r="G40" s="124">
        <f t="shared" si="4"/>
        <v>5184.288384512688</v>
      </c>
    </row>
    <row r="41" spans="1:7">
      <c r="A41" s="142">
        <v>43830</v>
      </c>
      <c r="B41" s="141">
        <v>3.0548387096770906</v>
      </c>
      <c r="D41" s="152"/>
      <c r="E41" s="141">
        <f t="shared" si="3"/>
        <v>3.2835483870968729</v>
      </c>
      <c r="G41" s="124">
        <f t="shared" si="4"/>
        <v>5510.451268357825</v>
      </c>
    </row>
    <row r="42" spans="1:7">
      <c r="A42" s="142">
        <v>43861</v>
      </c>
      <c r="B42" s="141">
        <v>1.4935483870965161</v>
      </c>
      <c r="C42" s="141">
        <v>317</v>
      </c>
      <c r="D42" s="152">
        <f t="shared" ref="D42:D72" si="5">C42*10.7*D$3/(A42-A41)/24</f>
        <v>3.1913037634408599</v>
      </c>
      <c r="E42" s="141">
        <f t="shared" si="3"/>
        <v>3.7519354838710455</v>
      </c>
      <c r="F42" s="141">
        <f>D42-E42</f>
        <v>-0.56063172043018561</v>
      </c>
      <c r="G42" s="124">
        <f t="shared" si="4"/>
        <v>5883.1401869159099</v>
      </c>
    </row>
    <row r="43" spans="1:7">
      <c r="A43" s="142">
        <v>43890</v>
      </c>
      <c r="B43" s="141">
        <v>5.331034482758696</v>
      </c>
      <c r="C43" s="141">
        <v>257</v>
      </c>
      <c r="D43" s="152">
        <f t="shared" si="5"/>
        <v>2.7657040229885053</v>
      </c>
      <c r="E43" s="141">
        <f t="shared" si="3"/>
        <v>2.600689655172391</v>
      </c>
      <c r="F43" s="141">
        <f>D43-E43</f>
        <v>0.16501436781611423</v>
      </c>
      <c r="G43" s="124">
        <f t="shared" si="4"/>
        <v>6124.8064085447459</v>
      </c>
    </row>
    <row r="44" spans="1:7">
      <c r="A44" s="142">
        <v>43921</v>
      </c>
      <c r="B44" s="141">
        <v>5.209677419354839</v>
      </c>
      <c r="C44" s="141">
        <v>267</v>
      </c>
      <c r="D44" s="152">
        <f t="shared" si="5"/>
        <v>2.6879435483870964</v>
      </c>
      <c r="E44" s="141">
        <f t="shared" si="3"/>
        <v>2.6370967741935476</v>
      </c>
      <c r="F44" s="141">
        <f>D44-E44</f>
        <v>5.0846774193548772E-2</v>
      </c>
      <c r="G44" s="124">
        <f t="shared" si="4"/>
        <v>6386.7556742323295</v>
      </c>
    </row>
    <row r="45" spans="1:7">
      <c r="A45" s="142">
        <v>43951</v>
      </c>
      <c r="B45" s="141">
        <v>10.563333333333503</v>
      </c>
      <c r="C45" s="141">
        <v>106</v>
      </c>
      <c r="D45" s="152">
        <f t="shared" si="5"/>
        <v>1.1026944444444442</v>
      </c>
      <c r="E45" s="141">
        <f t="shared" si="3"/>
        <v>1.0309999999999491</v>
      </c>
      <c r="F45" s="141">
        <f>D45-E45</f>
        <v>7.1694444444495131E-2</v>
      </c>
      <c r="G45" s="124">
        <f t="shared" si="4"/>
        <v>6485.863818424581</v>
      </c>
    </row>
    <row r="46" spans="1:7">
      <c r="A46" s="142">
        <v>43982</v>
      </c>
      <c r="B46" s="141">
        <v>12.283870967742029</v>
      </c>
      <c r="C46" s="141">
        <v>48</v>
      </c>
      <c r="D46" s="152">
        <f t="shared" si="5"/>
        <v>0.48322580645161284</v>
      </c>
      <c r="E46" s="141">
        <f t="shared" si="3"/>
        <v>0.51483870967739132</v>
      </c>
      <c r="F46" s="141">
        <f>D46-E46</f>
        <v>-3.1612903225778477E-2</v>
      </c>
      <c r="G46" s="124">
        <f t="shared" si="4"/>
        <v>6537.0040053404664</v>
      </c>
    </row>
    <row r="47" spans="1:7">
      <c r="A47" s="142">
        <v>44012</v>
      </c>
      <c r="B47" s="141">
        <v>17.603333333333286</v>
      </c>
      <c r="D47" s="152">
        <f t="shared" si="5"/>
        <v>0</v>
      </c>
      <c r="E47" s="141">
        <f t="shared" si="3"/>
        <v>0</v>
      </c>
      <c r="G47" s="124">
        <f t="shared" si="4"/>
        <v>6537.0040053404664</v>
      </c>
    </row>
    <row r="48" spans="1:7">
      <c r="A48" s="142">
        <v>44043</v>
      </c>
      <c r="B48" s="141">
        <v>19.422580645161478</v>
      </c>
      <c r="D48" s="152">
        <f t="shared" si="5"/>
        <v>0</v>
      </c>
      <c r="E48" s="141">
        <f t="shared" si="3"/>
        <v>0</v>
      </c>
      <c r="G48" s="124">
        <f t="shared" si="4"/>
        <v>6537.0040053404664</v>
      </c>
    </row>
    <row r="49" spans="1:7">
      <c r="A49" s="142">
        <v>44074</v>
      </c>
      <c r="B49" s="141">
        <v>20.44838709677424</v>
      </c>
      <c r="D49" s="152">
        <f t="shared" si="5"/>
        <v>0</v>
      </c>
      <c r="E49" s="141">
        <f t="shared" si="3"/>
        <v>0</v>
      </c>
      <c r="G49" s="124">
        <f t="shared" si="4"/>
        <v>6537.0040053404664</v>
      </c>
    </row>
    <row r="50" spans="1:7">
      <c r="A50" s="142">
        <v>44104</v>
      </c>
      <c r="B50" s="141">
        <v>15.749999999999757</v>
      </c>
      <c r="D50" s="152">
        <f t="shared" si="5"/>
        <v>0</v>
      </c>
      <c r="E50" s="141">
        <f t="shared" si="3"/>
        <v>0</v>
      </c>
      <c r="G50" s="124">
        <f t="shared" si="4"/>
        <v>6537.0040053404664</v>
      </c>
    </row>
    <row r="51" spans="1:7">
      <c r="A51" s="142">
        <v>44135</v>
      </c>
      <c r="B51" s="141">
        <v>10.274193548387096</v>
      </c>
      <c r="D51" s="152">
        <f t="shared" si="5"/>
        <v>0</v>
      </c>
      <c r="E51" s="141">
        <f t="shared" si="3"/>
        <v>1.1177419354838711</v>
      </c>
      <c r="G51" s="124">
        <f t="shared" si="4"/>
        <v>6648.0320427236438</v>
      </c>
    </row>
    <row r="52" spans="1:7">
      <c r="A52" s="142">
        <v>44165</v>
      </c>
      <c r="B52" s="141">
        <v>4.8533333333335271</v>
      </c>
      <c r="D52" s="152">
        <f t="shared" si="5"/>
        <v>0</v>
      </c>
      <c r="E52" s="141">
        <f t="shared" si="3"/>
        <v>2.743999999999942</v>
      </c>
      <c r="G52" s="124">
        <f t="shared" si="4"/>
        <v>6911.807743658218</v>
      </c>
    </row>
    <row r="53" spans="1:7">
      <c r="A53" s="142">
        <v>44196</v>
      </c>
      <c r="B53" s="141">
        <v>2.922580645161478</v>
      </c>
      <c r="D53" s="152">
        <f t="shared" si="5"/>
        <v>0</v>
      </c>
      <c r="E53" s="141">
        <f t="shared" si="3"/>
        <v>3.3232258064515565</v>
      </c>
      <c r="G53" s="124">
        <f t="shared" si="4"/>
        <v>7241.9118825100149</v>
      </c>
    </row>
    <row r="54" spans="1:7">
      <c r="A54" s="142">
        <v>44227</v>
      </c>
      <c r="B54" s="141">
        <v>9.0322580645020467E-2</v>
      </c>
      <c r="D54" s="152">
        <f t="shared" si="5"/>
        <v>0</v>
      </c>
      <c r="E54" s="141">
        <f t="shared" si="3"/>
        <v>4.1729032258064942</v>
      </c>
      <c r="G54" s="124">
        <f t="shared" si="4"/>
        <v>7656.4165554072151</v>
      </c>
    </row>
    <row r="55" spans="1:7">
      <c r="A55" s="142">
        <v>44255</v>
      </c>
      <c r="B55" s="141">
        <v>-0.66428571428579219</v>
      </c>
      <c r="D55" s="152">
        <f t="shared" si="5"/>
        <v>0</v>
      </c>
      <c r="E55" s="141">
        <f t="shared" si="3"/>
        <v>4.399285714285738</v>
      </c>
      <c r="G55" s="124">
        <f t="shared" si="4"/>
        <v>8051.1188251001413</v>
      </c>
    </row>
    <row r="56" spans="1:7">
      <c r="A56" s="142">
        <v>44286</v>
      </c>
      <c r="B56" s="141">
        <v>4.2129032258067571</v>
      </c>
      <c r="D56" s="152">
        <f t="shared" si="5"/>
        <v>0</v>
      </c>
      <c r="E56" s="141">
        <f t="shared" si="3"/>
        <v>2.9361290322579729</v>
      </c>
      <c r="G56" s="124">
        <f t="shared" si="4"/>
        <v>8342.771695594125</v>
      </c>
    </row>
    <row r="57" spans="1:7">
      <c r="A57" s="142">
        <v>44316</v>
      </c>
      <c r="B57" s="141">
        <v>6.6066666666668121</v>
      </c>
      <c r="D57" s="152">
        <f t="shared" si="5"/>
        <v>0</v>
      </c>
      <c r="E57" s="141">
        <f t="shared" si="3"/>
        <v>2.217999999999956</v>
      </c>
      <c r="G57" s="124">
        <f t="shared" si="4"/>
        <v>8555.9839786381799</v>
      </c>
    </row>
    <row r="58" spans="1:7">
      <c r="A58" s="142">
        <v>44347</v>
      </c>
      <c r="B58" s="141">
        <v>11.622580645161385</v>
      </c>
      <c r="D58" s="152">
        <f t="shared" si="5"/>
        <v>0</v>
      </c>
      <c r="E58" s="141">
        <f t="shared" si="3"/>
        <v>0.71322580645158451</v>
      </c>
      <c r="G58" s="124">
        <f t="shared" si="4"/>
        <v>8626.8304405874424</v>
      </c>
    </row>
    <row r="59" spans="1:7">
      <c r="A59" s="142">
        <v>44377</v>
      </c>
      <c r="B59" s="141">
        <v>19.990000000000023</v>
      </c>
      <c r="D59" s="152">
        <f t="shared" si="5"/>
        <v>0</v>
      </c>
      <c r="E59" s="141">
        <f t="shared" si="3"/>
        <v>0</v>
      </c>
      <c r="G59" s="124">
        <f t="shared" si="4"/>
        <v>8626.8304405874424</v>
      </c>
    </row>
    <row r="60" spans="1:7">
      <c r="A60" s="142">
        <v>44408</v>
      </c>
      <c r="B60" s="141">
        <v>19.780645161290344</v>
      </c>
      <c r="D60" s="152">
        <f t="shared" si="5"/>
        <v>0</v>
      </c>
      <c r="E60" s="141">
        <f t="shared" si="3"/>
        <v>0</v>
      </c>
      <c r="G60" s="124">
        <f t="shared" si="4"/>
        <v>8626.8304405874424</v>
      </c>
    </row>
    <row r="61" spans="1:7">
      <c r="A61" s="142">
        <v>44439</v>
      </c>
      <c r="B61" s="141">
        <v>17.383870967742101</v>
      </c>
      <c r="D61" s="152">
        <f t="shared" si="5"/>
        <v>0</v>
      </c>
      <c r="E61" s="141">
        <f t="shared" si="3"/>
        <v>0</v>
      </c>
      <c r="G61" s="124">
        <f t="shared" si="4"/>
        <v>8626.8304405874424</v>
      </c>
    </row>
    <row r="62" spans="1:7">
      <c r="A62" s="142">
        <v>44469</v>
      </c>
      <c r="B62" s="141">
        <v>16.033333333333577</v>
      </c>
      <c r="D62" s="152">
        <f t="shared" si="5"/>
        <v>0</v>
      </c>
      <c r="E62" s="141">
        <f t="shared" si="3"/>
        <v>0</v>
      </c>
      <c r="G62" s="124">
        <f t="shared" si="4"/>
        <v>8626.8304405874424</v>
      </c>
    </row>
    <row r="63" spans="1:7">
      <c r="A63" s="142">
        <v>44500</v>
      </c>
      <c r="B63" s="141">
        <v>9.1612903225809976</v>
      </c>
      <c r="D63" s="152">
        <f t="shared" si="5"/>
        <v>0</v>
      </c>
      <c r="E63" s="141">
        <f t="shared" si="3"/>
        <v>1.4516129032257008</v>
      </c>
      <c r="G63" s="124">
        <f t="shared" si="4"/>
        <v>8771.0226969292216</v>
      </c>
    </row>
    <row r="64" spans="1:7">
      <c r="A64" s="142">
        <v>44530</v>
      </c>
      <c r="B64" s="141">
        <v>4.6599999999997328</v>
      </c>
      <c r="D64" s="152">
        <f t="shared" si="5"/>
        <v>0</v>
      </c>
      <c r="E64" s="141">
        <f t="shared" si="3"/>
        <v>2.8020000000000795</v>
      </c>
      <c r="G64" s="124">
        <f t="shared" si="4"/>
        <v>9040.3738317756906</v>
      </c>
    </row>
    <row r="65" spans="1:7">
      <c r="A65" s="142">
        <v>44561</v>
      </c>
      <c r="B65" s="141">
        <v>1.8096774193551439</v>
      </c>
      <c r="D65" s="152">
        <f t="shared" si="5"/>
        <v>0</v>
      </c>
      <c r="E65" s="141">
        <f t="shared" si="3"/>
        <v>3.657096774193457</v>
      </c>
      <c r="G65" s="124">
        <f t="shared" si="4"/>
        <v>9403.6421895860949</v>
      </c>
    </row>
    <row r="66" spans="1:7">
      <c r="A66" s="142">
        <v>44592</v>
      </c>
      <c r="B66" s="141">
        <v>2.3193548387096068</v>
      </c>
      <c r="D66" s="152">
        <f t="shared" si="5"/>
        <v>0</v>
      </c>
      <c r="E66" s="141">
        <f t="shared" si="3"/>
        <v>3.5041935483871174</v>
      </c>
      <c r="G66" s="124">
        <f t="shared" si="4"/>
        <v>9751.7222963951754</v>
      </c>
    </row>
    <row r="67" spans="1:7">
      <c r="A67" s="142">
        <v>44620</v>
      </c>
      <c r="B67" s="141">
        <v>4.5678571428569352</v>
      </c>
      <c r="D67" s="152">
        <f t="shared" si="5"/>
        <v>0</v>
      </c>
      <c r="E67" s="141">
        <f t="shared" si="3"/>
        <v>2.8296428571429195</v>
      </c>
      <c r="G67" s="124">
        <f t="shared" si="4"/>
        <v>10005.596795727624</v>
      </c>
    </row>
    <row r="68" spans="1:7">
      <c r="A68" s="142">
        <v>44651</v>
      </c>
      <c r="B68" s="141">
        <v>4.6419354838711318</v>
      </c>
      <c r="D68" s="152">
        <f t="shared" si="5"/>
        <v>0</v>
      </c>
      <c r="E68" s="141">
        <f t="shared" si="3"/>
        <v>2.8074193548386601</v>
      </c>
      <c r="G68" s="124">
        <f t="shared" si="4"/>
        <v>10284.464619492639</v>
      </c>
    </row>
    <row r="69" spans="1:7">
      <c r="A69" s="142">
        <v>44681</v>
      </c>
      <c r="B69" s="141">
        <v>7.6733333333332361</v>
      </c>
      <c r="D69" s="152">
        <f t="shared" si="5"/>
        <v>0</v>
      </c>
      <c r="E69" s="141">
        <f t="shared" si="3"/>
        <v>1.8980000000000292</v>
      </c>
      <c r="G69" s="124">
        <f t="shared" si="4"/>
        <v>10466.915887850453</v>
      </c>
    </row>
    <row r="70" spans="1:7">
      <c r="A70" s="142">
        <v>44712</v>
      </c>
      <c r="B70" s="141">
        <v>15.858064516128985</v>
      </c>
      <c r="D70" s="152">
        <f t="shared" si="5"/>
        <v>0</v>
      </c>
      <c r="E70" s="141">
        <f t="shared" si="3"/>
        <v>0</v>
      </c>
      <c r="G70" s="124">
        <f t="shared" si="4"/>
        <v>10466.915887850453</v>
      </c>
    </row>
    <row r="71" spans="1:7">
      <c r="A71" s="142">
        <v>44742</v>
      </c>
      <c r="B71" s="141">
        <v>18.693333333333431</v>
      </c>
      <c r="D71" s="152">
        <f t="shared" si="5"/>
        <v>0</v>
      </c>
      <c r="E71" s="141">
        <f t="shared" si="3"/>
        <v>0</v>
      </c>
      <c r="G71" s="124">
        <f t="shared" si="4"/>
        <v>10466.915887850453</v>
      </c>
    </row>
    <row r="72" spans="1:7">
      <c r="A72" s="142">
        <v>44773</v>
      </c>
      <c r="D72" s="152">
        <f t="shared" si="5"/>
        <v>0</v>
      </c>
      <c r="E72" s="141">
        <f t="shared" si="3"/>
        <v>4.2</v>
      </c>
      <c r="G72" s="124">
        <f t="shared" si="4"/>
        <v>10884.112149532697</v>
      </c>
    </row>
  </sheetData>
  <hyperlinks>
    <hyperlink ref="H1" r:id="rId1"/>
    <hyperlink ref="H2" r:id="rId2"/>
  </hyperlinks>
  <pageMargins left="0.7" right="0.7" top="0.78740157499999996" bottom="0.78740157499999996" header="0.3" footer="0.3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X30"/>
  <sheetViews>
    <sheetView workbookViewId="0">
      <pane ySplit="4" topLeftCell="A5" activePane="bottomLeft" state="frozen"/>
      <selection pane="bottomLeft" activeCell="A2" sqref="A2"/>
    </sheetView>
  </sheetViews>
  <sheetFormatPr defaultColWidth="7" defaultRowHeight="15"/>
  <cols>
    <col min="1" max="1" width="7" style="66"/>
    <col min="2" max="3" width="7" style="70"/>
    <col min="4" max="4" width="7" style="109"/>
    <col min="5" max="5" width="7" style="70"/>
    <col min="6" max="8" width="9.85546875" style="70" customWidth="1"/>
    <col min="9" max="13" width="7" style="70"/>
    <col min="14" max="14" width="9.5703125" style="70" customWidth="1"/>
    <col min="15" max="15" width="8.5703125" style="70" bestFit="1" customWidth="1"/>
    <col min="16" max="16384" width="7" style="70"/>
  </cols>
  <sheetData>
    <row r="1" spans="1:24">
      <c r="A1" s="66" t="s">
        <v>1548</v>
      </c>
      <c r="K1" s="70">
        <f>K2*1000/30</f>
        <v>210</v>
      </c>
      <c r="L1" s="70" t="s">
        <v>331</v>
      </c>
      <c r="O1" s="86" t="s">
        <v>330</v>
      </c>
    </row>
    <row r="2" spans="1:24">
      <c r="D2" s="109" t="s">
        <v>344</v>
      </c>
      <c r="F2" s="70" t="s">
        <v>329</v>
      </c>
      <c r="G2" s="70" t="s">
        <v>328</v>
      </c>
      <c r="H2" s="70" t="s">
        <v>268</v>
      </c>
      <c r="I2" s="70" t="s">
        <v>327</v>
      </c>
      <c r="J2" s="87">
        <v>0.3</v>
      </c>
      <c r="K2" s="88">
        <v>6.3</v>
      </c>
      <c r="L2" s="70" t="s">
        <v>326</v>
      </c>
      <c r="O2" s="70" t="s">
        <v>325</v>
      </c>
    </row>
    <row r="3" spans="1:24">
      <c r="B3" s="70" t="s">
        <v>324</v>
      </c>
      <c r="J3" s="89">
        <v>0.95</v>
      </c>
      <c r="K3" s="90">
        <v>13.8</v>
      </c>
      <c r="L3" s="70" t="s">
        <v>107</v>
      </c>
      <c r="O3" s="70" t="s">
        <v>323</v>
      </c>
    </row>
    <row r="4" spans="1:24">
      <c r="B4" s="109" t="s">
        <v>345</v>
      </c>
      <c r="C4" s="70" t="s">
        <v>322</v>
      </c>
      <c r="J4" s="70" t="s">
        <v>105</v>
      </c>
      <c r="K4" s="70" t="s">
        <v>104</v>
      </c>
      <c r="L4" s="70" t="s">
        <v>321</v>
      </c>
      <c r="O4" s="109" t="s">
        <v>349</v>
      </c>
      <c r="P4" s="109" t="s">
        <v>341</v>
      </c>
      <c r="T4" s="70" t="s">
        <v>142</v>
      </c>
      <c r="U4" s="70" t="s">
        <v>338</v>
      </c>
      <c r="V4" s="70" t="s">
        <v>331</v>
      </c>
      <c r="W4" s="109" t="s">
        <v>342</v>
      </c>
    </row>
    <row r="5" spans="1:24">
      <c r="A5" s="66">
        <v>43101</v>
      </c>
      <c r="B5" s="70">
        <v>3.2483870967741582</v>
      </c>
      <c r="C5" s="70">
        <v>1.8</v>
      </c>
      <c r="D5" s="109">
        <v>-2</v>
      </c>
      <c r="E5" s="70">
        <f t="shared" ref="E5:E28" si="0">C5-B5</f>
        <v>-1.4483870967741581</v>
      </c>
      <c r="N5" s="78">
        <f>F23-F11</f>
        <v>1676</v>
      </c>
      <c r="O5" s="110">
        <f>N5*10.7</f>
        <v>17933.199999999997</v>
      </c>
      <c r="P5" s="110">
        <f>N5*10.7*0.95</f>
        <v>17036.539999999997</v>
      </c>
      <c r="Q5" s="70" t="s">
        <v>332</v>
      </c>
      <c r="T5" s="70">
        <f>0.3*365*24</f>
        <v>2628</v>
      </c>
      <c r="U5" s="70" t="s">
        <v>142</v>
      </c>
      <c r="W5" s="70">
        <f>P5-T5</f>
        <v>14408.539999999997</v>
      </c>
    </row>
    <row r="6" spans="1:24">
      <c r="A6" s="66">
        <v>43132</v>
      </c>
      <c r="B6" s="70">
        <v>-2.5500000000000518</v>
      </c>
      <c r="C6" s="70">
        <v>-3.5</v>
      </c>
      <c r="D6" s="109">
        <v>-0.2</v>
      </c>
      <c r="E6" s="70">
        <f t="shared" si="0"/>
        <v>-0.94999999999994822</v>
      </c>
      <c r="N6" s="70" t="s">
        <v>337</v>
      </c>
      <c r="O6" s="110">
        <f>P6/0.95</f>
        <v>17643.78947368421</v>
      </c>
      <c r="P6" s="110">
        <f>(T6+W6)</f>
        <v>16761.599999999999</v>
      </c>
      <c r="Q6" s="109" t="s">
        <v>332</v>
      </c>
      <c r="T6" s="109">
        <f>0.3*365*24</f>
        <v>2628</v>
      </c>
      <c r="U6" s="70">
        <v>1963</v>
      </c>
      <c r="V6" s="70">
        <v>300</v>
      </c>
      <c r="W6" s="109">
        <f>U6*V6*24/1000</f>
        <v>14133.6</v>
      </c>
    </row>
    <row r="7" spans="1:24">
      <c r="A7" s="66">
        <v>43160</v>
      </c>
      <c r="B7" s="70">
        <v>2.3838709677420411</v>
      </c>
      <c r="C7" s="70">
        <v>0.8</v>
      </c>
      <c r="D7" s="109">
        <v>3.9</v>
      </c>
      <c r="E7" s="70">
        <f t="shared" si="0"/>
        <v>-1.5838709677420411</v>
      </c>
      <c r="F7" s="70">
        <v>1316</v>
      </c>
      <c r="O7" s="110">
        <f>P7/0.95</f>
        <v>13180.547368421054</v>
      </c>
      <c r="P7" s="110">
        <f>(T7+W7)</f>
        <v>12521.52</v>
      </c>
      <c r="Q7" s="70" t="s">
        <v>336</v>
      </c>
      <c r="T7" s="109">
        <f>0.3*365*24</f>
        <v>2628</v>
      </c>
      <c r="U7" s="70">
        <v>1963</v>
      </c>
      <c r="V7" s="70">
        <v>210</v>
      </c>
      <c r="W7" s="70">
        <f>U7*V7*24/1000</f>
        <v>9893.52</v>
      </c>
      <c r="X7" s="109"/>
    </row>
    <row r="8" spans="1:24">
      <c r="A8" s="66">
        <v>43191</v>
      </c>
      <c r="B8" s="70">
        <v>13.99333333333337</v>
      </c>
      <c r="C8" s="70">
        <v>12.7</v>
      </c>
      <c r="D8" s="109">
        <v>9.1999999999999993</v>
      </c>
      <c r="E8" s="70">
        <f t="shared" si="0"/>
        <v>-1.2933333333333703</v>
      </c>
      <c r="F8" s="84">
        <v>1358</v>
      </c>
      <c r="G8" s="84">
        <v>1316</v>
      </c>
      <c r="H8" s="83">
        <v>42</v>
      </c>
      <c r="I8" s="78">
        <f t="shared" ref="I8:I28" si="1">F8-G8</f>
        <v>42</v>
      </c>
      <c r="J8" s="70">
        <f t="shared" ref="J8:J28" si="2">(F8-F7)/(A8-A7)/24*10.7*J$3-J$2</f>
        <v>0.27383064516129024</v>
      </c>
      <c r="K8" s="70">
        <f t="shared" ref="K8:K28" si="3">IF(K$3-C8&gt;0,(K$3-C8)*K$2/30,0)</f>
        <v>0.23100000000000029</v>
      </c>
      <c r="L8" s="70">
        <f t="shared" ref="L8:L28" si="4">J8-K8</f>
        <v>4.2830645161289954E-2</v>
      </c>
      <c r="O8" s="109" t="s">
        <v>339</v>
      </c>
    </row>
    <row r="9" spans="1:24">
      <c r="A9" s="66">
        <v>43221</v>
      </c>
      <c r="B9" s="70">
        <v>17.454838709677372</v>
      </c>
      <c r="C9" s="36">
        <v>16.2</v>
      </c>
      <c r="D9" s="36">
        <v>13.8</v>
      </c>
      <c r="E9" s="70">
        <f t="shared" si="0"/>
        <v>-1.2548387096773723</v>
      </c>
      <c r="F9" s="84">
        <v>1389</v>
      </c>
      <c r="G9" s="84">
        <v>1358</v>
      </c>
      <c r="H9" s="83">
        <v>31</v>
      </c>
      <c r="I9" s="78">
        <f t="shared" si="1"/>
        <v>31</v>
      </c>
      <c r="J9" s="70">
        <f t="shared" si="2"/>
        <v>0.13765972222222222</v>
      </c>
      <c r="K9" s="70">
        <f t="shared" si="3"/>
        <v>0</v>
      </c>
      <c r="L9" s="70">
        <f t="shared" si="4"/>
        <v>0.13765972222222222</v>
      </c>
      <c r="O9" s="109" t="s">
        <v>340</v>
      </c>
    </row>
    <row r="10" spans="1:24">
      <c r="A10" s="66">
        <v>43252</v>
      </c>
      <c r="B10" s="70">
        <v>18.759999999999977</v>
      </c>
      <c r="C10" s="36">
        <v>17.5</v>
      </c>
      <c r="D10" s="36">
        <v>17.2</v>
      </c>
      <c r="E10" s="70">
        <f t="shared" si="0"/>
        <v>-1.2599999999999767</v>
      </c>
      <c r="F10" s="84">
        <v>1413</v>
      </c>
      <c r="G10" s="84">
        <v>1389</v>
      </c>
      <c r="H10" s="83">
        <v>24</v>
      </c>
      <c r="I10" s="78">
        <f t="shared" si="1"/>
        <v>24</v>
      </c>
      <c r="J10" s="70">
        <f t="shared" si="2"/>
        <v>2.7903225806451604E-2</v>
      </c>
      <c r="K10" s="70">
        <f t="shared" si="3"/>
        <v>0</v>
      </c>
      <c r="L10" s="70">
        <f t="shared" si="4"/>
        <v>2.7903225806451604E-2</v>
      </c>
    </row>
    <row r="11" spans="1:24">
      <c r="A11" s="66">
        <v>43282</v>
      </c>
      <c r="B11" s="70">
        <v>21.961290322580503</v>
      </c>
      <c r="C11" s="36">
        <v>19.7</v>
      </c>
      <c r="D11" s="36">
        <v>18.5</v>
      </c>
      <c r="E11" s="70">
        <f t="shared" si="0"/>
        <v>-2.2612903225805034</v>
      </c>
      <c r="F11" s="84">
        <v>1437</v>
      </c>
      <c r="G11" s="84">
        <v>1414</v>
      </c>
      <c r="H11" s="83">
        <v>23</v>
      </c>
      <c r="I11" s="78">
        <f t="shared" si="1"/>
        <v>23</v>
      </c>
      <c r="J11" s="70">
        <f t="shared" si="2"/>
        <v>3.8833333333333275E-2</v>
      </c>
      <c r="K11" s="70">
        <f t="shared" si="3"/>
        <v>0</v>
      </c>
      <c r="L11" s="70">
        <f t="shared" si="4"/>
        <v>3.8833333333333275E-2</v>
      </c>
    </row>
    <row r="12" spans="1:24">
      <c r="A12" s="66">
        <v>43313</v>
      </c>
      <c r="B12" s="70">
        <v>21.751612903225901</v>
      </c>
      <c r="C12" s="36">
        <v>20.6</v>
      </c>
      <c r="D12" s="36">
        <v>18.2</v>
      </c>
      <c r="E12" s="70">
        <f t="shared" si="0"/>
        <v>-1.1516129032258995</v>
      </c>
      <c r="F12" s="84">
        <v>1455</v>
      </c>
      <c r="G12" s="84">
        <v>1438</v>
      </c>
      <c r="H12" s="83">
        <v>17</v>
      </c>
      <c r="I12" s="78">
        <f t="shared" si="1"/>
        <v>17</v>
      </c>
      <c r="J12" s="70">
        <f t="shared" si="2"/>
        <v>-5.4072580645161267E-2</v>
      </c>
      <c r="K12" s="70">
        <f t="shared" si="3"/>
        <v>0</v>
      </c>
      <c r="L12" s="70">
        <f t="shared" si="4"/>
        <v>-5.4072580645161267E-2</v>
      </c>
    </row>
    <row r="13" spans="1:24">
      <c r="A13" s="66">
        <v>43344</v>
      </c>
      <c r="B13" s="70">
        <v>16.043333333333369</v>
      </c>
      <c r="C13" s="36">
        <v>14.5</v>
      </c>
      <c r="D13" s="36">
        <v>14.1</v>
      </c>
      <c r="E13" s="70">
        <f t="shared" si="0"/>
        <v>-1.5433333333333685</v>
      </c>
      <c r="F13" s="84">
        <v>1488</v>
      </c>
      <c r="G13" s="84">
        <v>1456</v>
      </c>
      <c r="H13" s="83">
        <v>32</v>
      </c>
      <c r="I13" s="78">
        <f t="shared" si="1"/>
        <v>32</v>
      </c>
      <c r="J13" s="70">
        <f t="shared" si="2"/>
        <v>0.15086693548387087</v>
      </c>
      <c r="K13" s="70">
        <f t="shared" si="3"/>
        <v>0</v>
      </c>
      <c r="L13" s="70">
        <f t="shared" si="4"/>
        <v>0.15086693548387087</v>
      </c>
    </row>
    <row r="14" spans="1:24">
      <c r="A14" s="66">
        <v>43374</v>
      </c>
      <c r="B14" s="70">
        <v>11.01935483870969</v>
      </c>
      <c r="C14" s="36">
        <v>10</v>
      </c>
      <c r="D14" s="36">
        <v>9.1999999999999993</v>
      </c>
      <c r="E14" s="70">
        <f t="shared" si="0"/>
        <v>-1.01935483870969</v>
      </c>
      <c r="F14" s="84">
        <v>1586</v>
      </c>
      <c r="G14" s="84">
        <v>1493</v>
      </c>
      <c r="H14" s="83">
        <v>93</v>
      </c>
      <c r="I14" s="78">
        <f t="shared" si="1"/>
        <v>93</v>
      </c>
      <c r="J14" s="70">
        <f t="shared" si="2"/>
        <v>1.0835694444444441</v>
      </c>
      <c r="K14" s="70">
        <f t="shared" si="3"/>
        <v>0.79800000000000015</v>
      </c>
      <c r="L14" s="70">
        <f t="shared" si="4"/>
        <v>0.28556944444444399</v>
      </c>
    </row>
    <row r="15" spans="1:24">
      <c r="A15" s="66">
        <v>43405</v>
      </c>
      <c r="B15" s="70">
        <v>4.2866666666666786</v>
      </c>
      <c r="C15" s="36">
        <v>4.3</v>
      </c>
      <c r="D15" s="36">
        <v>3.8</v>
      </c>
      <c r="E15" s="70">
        <f t="shared" si="0"/>
        <v>1.3333333333321207E-2</v>
      </c>
      <c r="F15" s="84">
        <v>1775</v>
      </c>
      <c r="G15" s="84">
        <v>1586</v>
      </c>
      <c r="H15" s="83">
        <v>189</v>
      </c>
      <c r="I15" s="78">
        <f t="shared" si="1"/>
        <v>189</v>
      </c>
      <c r="J15" s="70">
        <f t="shared" si="2"/>
        <v>2.282237903225806</v>
      </c>
      <c r="K15" s="70">
        <f t="shared" si="3"/>
        <v>1.9950000000000001</v>
      </c>
      <c r="L15" s="70">
        <f t="shared" si="4"/>
        <v>0.28723790322580589</v>
      </c>
    </row>
    <row r="16" spans="1:24" ht="15.75" thickBot="1">
      <c r="A16" s="66">
        <v>43435</v>
      </c>
      <c r="B16" s="70">
        <v>3.2290322580642932</v>
      </c>
      <c r="C16" s="36">
        <v>1.2</v>
      </c>
      <c r="D16" s="36">
        <v>-0.1</v>
      </c>
      <c r="E16" s="70">
        <f t="shared" si="0"/>
        <v>-2.0290322580642934</v>
      </c>
      <c r="F16" s="82">
        <v>2032</v>
      </c>
      <c r="G16" s="82">
        <v>1787</v>
      </c>
      <c r="H16" s="81">
        <v>245</v>
      </c>
      <c r="I16" s="78">
        <f t="shared" si="1"/>
        <v>245</v>
      </c>
      <c r="J16" s="70">
        <f t="shared" si="2"/>
        <v>3.3283402777777775</v>
      </c>
      <c r="K16" s="70">
        <f t="shared" si="3"/>
        <v>2.6460000000000004</v>
      </c>
      <c r="L16" s="70">
        <f t="shared" si="4"/>
        <v>0.68234027777777717</v>
      </c>
    </row>
    <row r="17" spans="1:12">
      <c r="A17" s="66">
        <v>43466</v>
      </c>
      <c r="B17" s="70">
        <v>-1.2903225806557232E-2</v>
      </c>
      <c r="C17" s="36">
        <v>-1.8</v>
      </c>
      <c r="D17" s="109">
        <v>-2</v>
      </c>
      <c r="E17" s="70">
        <f t="shared" si="0"/>
        <v>-1.7870967741934427</v>
      </c>
      <c r="F17" s="85">
        <v>2417</v>
      </c>
      <c r="G17" s="84">
        <v>2039</v>
      </c>
      <c r="H17" s="83">
        <v>378</v>
      </c>
      <c r="I17" s="78">
        <f t="shared" si="1"/>
        <v>378</v>
      </c>
      <c r="J17" s="70">
        <f t="shared" si="2"/>
        <v>4.9601142473118269</v>
      </c>
      <c r="K17" s="70">
        <f t="shared" si="3"/>
        <v>3.2760000000000002</v>
      </c>
      <c r="L17" s="70">
        <f t="shared" si="4"/>
        <v>1.6841142473118267</v>
      </c>
    </row>
    <row r="18" spans="1:12">
      <c r="A18" s="66">
        <v>43497</v>
      </c>
      <c r="B18" s="70">
        <v>3.067857142857195</v>
      </c>
      <c r="C18" s="36">
        <v>1.7</v>
      </c>
      <c r="D18" s="109">
        <v>-0.2</v>
      </c>
      <c r="E18" s="70">
        <f t="shared" si="0"/>
        <v>-1.3678571428571951</v>
      </c>
      <c r="F18" s="85">
        <v>2638</v>
      </c>
      <c r="G18" s="84">
        <v>2429</v>
      </c>
      <c r="H18" s="83">
        <v>209</v>
      </c>
      <c r="I18" s="78">
        <f t="shared" si="1"/>
        <v>209</v>
      </c>
      <c r="J18" s="70">
        <f t="shared" si="2"/>
        <v>2.7194422043010751</v>
      </c>
      <c r="K18" s="70">
        <f t="shared" si="3"/>
        <v>2.5409999999999999</v>
      </c>
      <c r="L18" s="70">
        <f t="shared" si="4"/>
        <v>0.17844220430107516</v>
      </c>
    </row>
    <row r="19" spans="1:12">
      <c r="A19" s="66">
        <v>43525</v>
      </c>
      <c r="B19" s="70">
        <v>7.361290322580551</v>
      </c>
      <c r="C19" s="36">
        <v>5.6</v>
      </c>
      <c r="D19" s="109">
        <v>3.9</v>
      </c>
      <c r="E19" s="70">
        <f t="shared" si="0"/>
        <v>-1.7612903225805514</v>
      </c>
      <c r="F19" s="85">
        <v>2840</v>
      </c>
      <c r="G19" s="84">
        <v>2640</v>
      </c>
      <c r="H19" s="83">
        <v>200</v>
      </c>
      <c r="I19" s="78">
        <f t="shared" si="1"/>
        <v>200</v>
      </c>
      <c r="J19" s="70">
        <f t="shared" si="2"/>
        <v>2.7555505952380948</v>
      </c>
      <c r="K19" s="70">
        <f t="shared" si="3"/>
        <v>1.7220000000000002</v>
      </c>
      <c r="L19" s="70">
        <f t="shared" si="4"/>
        <v>1.0335505952380946</v>
      </c>
    </row>
    <row r="20" spans="1:12">
      <c r="A20" s="66">
        <v>43556</v>
      </c>
      <c r="B20" s="70">
        <v>10.860000000000097</v>
      </c>
      <c r="C20" s="36">
        <v>9.4</v>
      </c>
      <c r="D20" s="109">
        <v>9.1999999999999993</v>
      </c>
      <c r="E20" s="70">
        <f t="shared" si="0"/>
        <v>-1.4600000000000968</v>
      </c>
      <c r="F20" s="85">
        <v>2972</v>
      </c>
      <c r="G20" s="84">
        <v>2845</v>
      </c>
      <c r="H20" s="83">
        <v>127</v>
      </c>
      <c r="I20" s="78">
        <f t="shared" si="1"/>
        <v>127</v>
      </c>
      <c r="J20" s="70">
        <f t="shared" si="2"/>
        <v>1.5034677419354834</v>
      </c>
      <c r="K20" s="70">
        <f t="shared" si="3"/>
        <v>0.92400000000000004</v>
      </c>
      <c r="L20" s="70">
        <f t="shared" si="4"/>
        <v>0.57946774193548334</v>
      </c>
    </row>
    <row r="21" spans="1:12">
      <c r="A21" s="66">
        <v>43586</v>
      </c>
      <c r="B21" s="70">
        <v>12.29354838709661</v>
      </c>
      <c r="C21" s="36">
        <v>10.7</v>
      </c>
      <c r="D21" s="36">
        <v>13.8</v>
      </c>
      <c r="E21" s="70">
        <f t="shared" si="0"/>
        <v>-1.593548387096611</v>
      </c>
      <c r="F21" s="85">
        <v>3074</v>
      </c>
      <c r="G21" s="84">
        <v>2977</v>
      </c>
      <c r="H21" s="83">
        <v>97</v>
      </c>
      <c r="I21" s="78">
        <f t="shared" si="1"/>
        <v>97</v>
      </c>
      <c r="J21" s="70">
        <f t="shared" si="2"/>
        <v>1.1400416666666664</v>
      </c>
      <c r="K21" s="70">
        <f t="shared" si="3"/>
        <v>0.65100000000000025</v>
      </c>
      <c r="L21" s="70">
        <f t="shared" si="4"/>
        <v>0.48904166666666615</v>
      </c>
    </row>
    <row r="22" spans="1:12">
      <c r="A22" s="66">
        <v>43617</v>
      </c>
      <c r="B22" s="70">
        <v>22.053333333333526</v>
      </c>
      <c r="C22" s="36">
        <v>20.7</v>
      </c>
      <c r="D22" s="36">
        <v>17.2</v>
      </c>
      <c r="E22" s="70">
        <f t="shared" si="0"/>
        <v>-1.3533333333335271</v>
      </c>
      <c r="F22" s="85">
        <v>3094</v>
      </c>
      <c r="G22" s="84">
        <v>3074</v>
      </c>
      <c r="H22" s="83">
        <v>20</v>
      </c>
      <c r="I22" s="78">
        <f t="shared" si="1"/>
        <v>20</v>
      </c>
      <c r="J22" s="70">
        <f t="shared" si="2"/>
        <v>-2.6747311827957032E-2</v>
      </c>
      <c r="K22" s="70">
        <f t="shared" si="3"/>
        <v>0</v>
      </c>
      <c r="L22" s="70">
        <f t="shared" si="4"/>
        <v>-2.6747311827957032E-2</v>
      </c>
    </row>
    <row r="23" spans="1:12">
      <c r="A23" s="66">
        <v>43647</v>
      </c>
      <c r="B23" s="70">
        <v>20.22903225806435</v>
      </c>
      <c r="C23" s="36">
        <v>18.8</v>
      </c>
      <c r="D23" s="36">
        <v>18.5</v>
      </c>
      <c r="E23" s="70">
        <f t="shared" si="0"/>
        <v>-1.4290322580643497</v>
      </c>
      <c r="F23" s="85">
        <v>3113</v>
      </c>
      <c r="G23" s="84">
        <v>3094</v>
      </c>
      <c r="H23" s="83">
        <v>19</v>
      </c>
      <c r="I23" s="78">
        <f t="shared" si="1"/>
        <v>19</v>
      </c>
      <c r="J23" s="70">
        <f t="shared" si="2"/>
        <v>-3.1756944444444435E-2</v>
      </c>
      <c r="K23" s="70">
        <f t="shared" si="3"/>
        <v>0</v>
      </c>
      <c r="L23" s="70">
        <f t="shared" si="4"/>
        <v>-3.1756944444444435E-2</v>
      </c>
    </row>
    <row r="24" spans="1:12">
      <c r="A24" s="66">
        <v>43678</v>
      </c>
      <c r="B24" s="70">
        <v>20.332258064516104</v>
      </c>
      <c r="C24" s="36">
        <v>18.899999999999999</v>
      </c>
      <c r="D24" s="36">
        <v>18.2</v>
      </c>
      <c r="E24" s="70">
        <f t="shared" si="0"/>
        <v>-1.4322580645161054</v>
      </c>
      <c r="F24" s="85">
        <v>3138</v>
      </c>
      <c r="G24" s="84">
        <v>3114</v>
      </c>
      <c r="H24" s="83">
        <v>24</v>
      </c>
      <c r="I24" s="78">
        <f t="shared" si="1"/>
        <v>24</v>
      </c>
      <c r="J24" s="70">
        <f t="shared" si="2"/>
        <v>4.1565860215053707E-2</v>
      </c>
      <c r="K24" s="70">
        <f t="shared" si="3"/>
        <v>0</v>
      </c>
      <c r="L24" s="70">
        <f t="shared" si="4"/>
        <v>4.1565860215053707E-2</v>
      </c>
    </row>
    <row r="25" spans="1:12">
      <c r="A25" s="66">
        <v>43709</v>
      </c>
      <c r="B25" s="70">
        <v>14.676666666666522</v>
      </c>
      <c r="C25" s="36">
        <v>13.3</v>
      </c>
      <c r="D25" s="36">
        <v>14.1</v>
      </c>
      <c r="E25" s="70">
        <f t="shared" si="0"/>
        <v>-1.3766666666665213</v>
      </c>
      <c r="F25" s="85">
        <v>3168</v>
      </c>
      <c r="G25" s="84">
        <v>3139</v>
      </c>
      <c r="H25" s="83">
        <v>29</v>
      </c>
      <c r="I25" s="78">
        <f t="shared" si="1"/>
        <v>29</v>
      </c>
      <c r="J25" s="70">
        <f t="shared" si="2"/>
        <v>0.10987903225806445</v>
      </c>
      <c r="K25" s="70">
        <f t="shared" si="3"/>
        <v>0.105</v>
      </c>
      <c r="L25" s="70">
        <f t="shared" si="4"/>
        <v>4.8790322580644502E-3</v>
      </c>
    </row>
    <row r="26" spans="1:12">
      <c r="A26" s="66">
        <v>43739</v>
      </c>
      <c r="B26" s="70">
        <v>10.209677419354721</v>
      </c>
      <c r="C26" s="36">
        <v>9.5</v>
      </c>
      <c r="D26" s="36">
        <v>9.1999999999999993</v>
      </c>
      <c r="E26" s="70">
        <f t="shared" si="0"/>
        <v>-0.70967741935472084</v>
      </c>
      <c r="F26" s="85">
        <v>3253</v>
      </c>
      <c r="G26" s="84">
        <v>3170</v>
      </c>
      <c r="H26" s="83">
        <v>83</v>
      </c>
      <c r="I26" s="78">
        <f t="shared" si="1"/>
        <v>83</v>
      </c>
      <c r="J26" s="70">
        <f t="shared" si="2"/>
        <v>0.90003472222222225</v>
      </c>
      <c r="K26" s="70">
        <f t="shared" si="3"/>
        <v>0.90300000000000014</v>
      </c>
      <c r="L26" s="70">
        <f t="shared" si="4"/>
        <v>-2.965277777777886E-3</v>
      </c>
    </row>
    <row r="27" spans="1:12" ht="15.75" thickBot="1">
      <c r="A27" s="66">
        <v>43770</v>
      </c>
      <c r="B27" s="70">
        <v>6.1799999999999269</v>
      </c>
      <c r="C27" s="36">
        <v>5.6</v>
      </c>
      <c r="D27" s="36">
        <v>3.8</v>
      </c>
      <c r="E27" s="70">
        <f t="shared" si="0"/>
        <v>-0.57999999999992724</v>
      </c>
      <c r="F27" s="79">
        <v>3404</v>
      </c>
      <c r="G27" s="82">
        <v>3258</v>
      </c>
      <c r="H27" s="81">
        <v>146</v>
      </c>
      <c r="I27" s="78">
        <f t="shared" si="1"/>
        <v>146</v>
      </c>
      <c r="J27" s="70">
        <f t="shared" si="2"/>
        <v>1.7630577956989246</v>
      </c>
      <c r="K27" s="70">
        <f t="shared" si="3"/>
        <v>1.7220000000000002</v>
      </c>
      <c r="L27" s="70">
        <f t="shared" si="4"/>
        <v>4.1057795698924426E-2</v>
      </c>
    </row>
    <row r="28" spans="1:12" ht="15.75" thickBot="1">
      <c r="A28" s="66">
        <v>43800</v>
      </c>
      <c r="B28" s="70">
        <v>2.5</v>
      </c>
      <c r="C28" s="36">
        <v>1.9</v>
      </c>
      <c r="D28" s="36">
        <v>-0.1</v>
      </c>
      <c r="E28" s="70">
        <f t="shared" si="0"/>
        <v>-0.60000000000000009</v>
      </c>
      <c r="F28" s="80">
        <v>3604</v>
      </c>
      <c r="G28" s="79">
        <v>3404</v>
      </c>
      <c r="H28" s="70">
        <v>200</v>
      </c>
      <c r="I28" s="78">
        <f t="shared" si="1"/>
        <v>200</v>
      </c>
      <c r="J28" s="70">
        <f t="shared" si="2"/>
        <v>2.5236111111111112</v>
      </c>
      <c r="K28" s="70">
        <f t="shared" si="3"/>
        <v>2.4990000000000001</v>
      </c>
      <c r="L28" s="70">
        <f t="shared" si="4"/>
        <v>2.4611111111111139E-2</v>
      </c>
    </row>
    <row r="30" spans="1:12">
      <c r="E30" s="36">
        <f>SUM(E5:E29)/24</f>
        <v>-1.3013533666154311</v>
      </c>
      <c r="F30" s="77">
        <v>0.65</v>
      </c>
      <c r="G30" s="70" t="s">
        <v>320</v>
      </c>
    </row>
  </sheetData>
  <hyperlinks>
    <hyperlink ref="O1" r:id="rId1" location="text8"/>
  </hyperlinks>
  <pageMargins left="0.7" right="0.7" top="0.78740157499999996" bottom="0.78740157499999996" header="0.3" footer="0.3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P52"/>
  <sheetViews>
    <sheetView workbookViewId="0">
      <selection activeCell="G1" sqref="G1:I18"/>
    </sheetView>
  </sheetViews>
  <sheetFormatPr defaultRowHeight="15"/>
  <cols>
    <col min="1" max="1" width="12.140625" style="1" bestFit="1" customWidth="1"/>
  </cols>
  <sheetData>
    <row r="1" spans="1:16">
      <c r="C1" t="s">
        <v>7</v>
      </c>
      <c r="H1" s="2">
        <v>0.24</v>
      </c>
      <c r="I1" t="s">
        <v>8</v>
      </c>
      <c r="L1" s="33" t="s">
        <v>35</v>
      </c>
      <c r="M1" s="33" t="s">
        <v>96</v>
      </c>
      <c r="N1" s="33" t="s">
        <v>95</v>
      </c>
      <c r="P1" s="33" t="s">
        <v>48</v>
      </c>
    </row>
    <row r="2" spans="1:16">
      <c r="H2" s="3">
        <v>2.95</v>
      </c>
      <c r="I2" t="s">
        <v>5</v>
      </c>
      <c r="K2" s="33" t="s">
        <v>29</v>
      </c>
      <c r="L2" s="33">
        <f>E23-E11</f>
        <v>807</v>
      </c>
      <c r="M2">
        <f>L2*G3*10.7-H1*365*24</f>
        <v>6100.7549999999992</v>
      </c>
      <c r="N2">
        <f>M2/24/H2</f>
        <v>86.168855932203371</v>
      </c>
      <c r="P2" s="33" t="s">
        <v>49</v>
      </c>
    </row>
    <row r="3" spans="1:16">
      <c r="C3">
        <v>0</v>
      </c>
      <c r="D3" t="s">
        <v>0</v>
      </c>
      <c r="E3" t="s">
        <v>3</v>
      </c>
      <c r="F3" t="s">
        <v>4</v>
      </c>
      <c r="G3" s="2">
        <v>0.95</v>
      </c>
      <c r="H3" s="3">
        <v>19</v>
      </c>
      <c r="I3" t="s">
        <v>6</v>
      </c>
    </row>
    <row r="4" spans="1:16">
      <c r="G4" t="s">
        <v>1</v>
      </c>
      <c r="H4" t="s">
        <v>2</v>
      </c>
    </row>
    <row r="5" spans="1:16">
      <c r="A5" s="1">
        <v>42005.5</v>
      </c>
      <c r="E5">
        <v>294</v>
      </c>
    </row>
    <row r="6" spans="1:16">
      <c r="A6" s="1">
        <v>42036.5</v>
      </c>
      <c r="D6">
        <v>1.2</v>
      </c>
      <c r="E6">
        <v>437</v>
      </c>
    </row>
    <row r="7" spans="1:16">
      <c r="A7" s="1">
        <v>42064.5</v>
      </c>
      <c r="D7">
        <v>1.2</v>
      </c>
      <c r="E7">
        <v>560</v>
      </c>
      <c r="F7">
        <v>143</v>
      </c>
      <c r="G7">
        <f>F7*10.7/30/24*G$3</f>
        <v>2.0188819444444444</v>
      </c>
      <c r="H7">
        <f>H$1+(IF(H$3-$D7&gt;0,H$3-$D7,0)*H$2/30)</f>
        <v>1.9903333333333335</v>
      </c>
    </row>
    <row r="8" spans="1:16">
      <c r="A8" s="1">
        <v>42095.5</v>
      </c>
      <c r="D8">
        <v>6.2</v>
      </c>
      <c r="E8">
        <v>683</v>
      </c>
      <c r="F8">
        <f>(E8-E7)</f>
        <v>123</v>
      </c>
      <c r="G8" s="33">
        <f t="shared" ref="G8:G52" si="0">F8*10.7/30/24*G$3</f>
        <v>1.7365208333333333</v>
      </c>
      <c r="H8">
        <f t="shared" ref="H8:H27" si="1">H$1+(IF(H$3-$D8&gt;0,H$3-$D8,0)*H$2/30)</f>
        <v>1.4986666666666668</v>
      </c>
    </row>
    <row r="9" spans="1:16">
      <c r="A9" s="1">
        <v>42125.5</v>
      </c>
      <c r="B9">
        <v>9.2499999999999982</v>
      </c>
      <c r="C9">
        <f>B9+C$3</f>
        <v>9.2499999999999982</v>
      </c>
      <c r="D9">
        <v>11.1</v>
      </c>
      <c r="E9">
        <v>770</v>
      </c>
      <c r="F9">
        <f>(E9-E8)</f>
        <v>87</v>
      </c>
      <c r="G9" s="33">
        <f t="shared" si="0"/>
        <v>1.2282708333333332</v>
      </c>
      <c r="H9">
        <f t="shared" si="1"/>
        <v>1.0168333333333335</v>
      </c>
    </row>
    <row r="10" spans="1:16">
      <c r="A10" s="1">
        <v>42156.5</v>
      </c>
      <c r="B10">
        <v>13.748387096774204</v>
      </c>
      <c r="C10">
        <f t="shared" ref="C10:C28" si="2">B10+C$3</f>
        <v>13.748387096774204</v>
      </c>
      <c r="D10">
        <v>15.6</v>
      </c>
      <c r="E10">
        <v>805</v>
      </c>
      <c r="F10">
        <f t="shared" ref="F10:F27" si="3">(E10-E9)</f>
        <v>35</v>
      </c>
      <c r="G10" s="33">
        <f t="shared" si="0"/>
        <v>0.49413194444444436</v>
      </c>
      <c r="H10">
        <f t="shared" si="1"/>
        <v>0.57433333333333336</v>
      </c>
    </row>
    <row r="11" spans="1:16">
      <c r="A11" s="1">
        <v>42186.5</v>
      </c>
      <c r="B11">
        <v>17.11</v>
      </c>
      <c r="C11">
        <f t="shared" si="2"/>
        <v>17.11</v>
      </c>
      <c r="D11">
        <v>20.8</v>
      </c>
      <c r="E11">
        <v>823</v>
      </c>
      <c r="F11">
        <f t="shared" si="3"/>
        <v>18</v>
      </c>
      <c r="G11" s="33">
        <f t="shared" si="0"/>
        <v>0.25412499999999999</v>
      </c>
      <c r="H11">
        <f t="shared" si="1"/>
        <v>0.24</v>
      </c>
    </row>
    <row r="12" spans="1:16">
      <c r="A12" s="1">
        <v>42217.5</v>
      </c>
      <c r="B12">
        <v>21.29032258064516</v>
      </c>
      <c r="C12">
        <f t="shared" si="2"/>
        <v>21.29032258064516</v>
      </c>
      <c r="D12">
        <v>25.1</v>
      </c>
      <c r="E12">
        <v>838</v>
      </c>
      <c r="F12">
        <f t="shared" si="3"/>
        <v>15</v>
      </c>
      <c r="G12" s="33">
        <f t="shared" si="0"/>
        <v>0.2117708333333333</v>
      </c>
      <c r="H12">
        <f t="shared" si="1"/>
        <v>0.24</v>
      </c>
    </row>
    <row r="13" spans="1:16">
      <c r="A13" s="1">
        <v>42248.5</v>
      </c>
      <c r="B13">
        <v>22.480645161290347</v>
      </c>
      <c r="C13">
        <f t="shared" si="2"/>
        <v>22.480645161290347</v>
      </c>
      <c r="D13">
        <v>25</v>
      </c>
      <c r="E13">
        <v>852</v>
      </c>
      <c r="F13">
        <f t="shared" si="3"/>
        <v>14</v>
      </c>
      <c r="G13" s="33">
        <f t="shared" si="0"/>
        <v>0.19765277777777776</v>
      </c>
      <c r="H13">
        <f t="shared" si="1"/>
        <v>0.24</v>
      </c>
    </row>
    <row r="14" spans="1:16">
      <c r="A14" s="1">
        <v>42278.5</v>
      </c>
      <c r="B14">
        <v>14.083333333333348</v>
      </c>
      <c r="C14">
        <f t="shared" si="2"/>
        <v>14.083333333333348</v>
      </c>
      <c r="D14">
        <v>17.399999999999999</v>
      </c>
      <c r="E14">
        <v>875</v>
      </c>
      <c r="F14">
        <f t="shared" si="3"/>
        <v>23</v>
      </c>
      <c r="G14" s="33">
        <f t="shared" si="0"/>
        <v>0.32471527777777776</v>
      </c>
      <c r="H14">
        <f t="shared" si="1"/>
        <v>0.39733333333333343</v>
      </c>
    </row>
    <row r="15" spans="1:16">
      <c r="A15" s="1">
        <v>42309.5</v>
      </c>
      <c r="B15">
        <v>8.6580645161290359</v>
      </c>
      <c r="C15">
        <f t="shared" si="2"/>
        <v>8.6580645161290359</v>
      </c>
      <c r="D15">
        <v>10.6</v>
      </c>
      <c r="E15">
        <v>945</v>
      </c>
      <c r="F15">
        <f t="shared" si="3"/>
        <v>70</v>
      </c>
      <c r="G15" s="33">
        <f t="shared" si="0"/>
        <v>0.98826388888888872</v>
      </c>
      <c r="H15">
        <f t="shared" si="1"/>
        <v>1.0660000000000001</v>
      </c>
    </row>
    <row r="16" spans="1:16">
      <c r="A16" s="1">
        <v>42339.5</v>
      </c>
      <c r="B16">
        <v>6.8866666666666028</v>
      </c>
      <c r="C16">
        <f t="shared" si="2"/>
        <v>6.8866666666666028</v>
      </c>
      <c r="D16">
        <v>6.9</v>
      </c>
      <c r="E16">
        <v>1035</v>
      </c>
      <c r="F16">
        <f t="shared" si="3"/>
        <v>90</v>
      </c>
      <c r="G16" s="33">
        <f t="shared" si="0"/>
        <v>1.2706249999999997</v>
      </c>
      <c r="H16">
        <f t="shared" si="1"/>
        <v>1.4298333333333333</v>
      </c>
    </row>
    <row r="17" spans="1:8">
      <c r="A17" s="1">
        <v>42370.5</v>
      </c>
      <c r="B17">
        <v>4.9032258064516272</v>
      </c>
      <c r="C17">
        <f t="shared" si="2"/>
        <v>4.9032258064516272</v>
      </c>
      <c r="D17">
        <v>3.5</v>
      </c>
      <c r="E17">
        <v>1155</v>
      </c>
      <c r="F17">
        <f t="shared" si="3"/>
        <v>120</v>
      </c>
      <c r="G17" s="33">
        <f t="shared" si="0"/>
        <v>1.6941666666666664</v>
      </c>
      <c r="H17">
        <f t="shared" si="1"/>
        <v>1.7641666666666667</v>
      </c>
    </row>
    <row r="18" spans="1:8">
      <c r="A18" s="1">
        <v>42401.5</v>
      </c>
      <c r="B18">
        <v>-0.25483870967740763</v>
      </c>
      <c r="C18">
        <f t="shared" si="2"/>
        <v>-0.25483870967740763</v>
      </c>
      <c r="D18">
        <v>-0.9</v>
      </c>
      <c r="E18">
        <v>1311</v>
      </c>
      <c r="F18">
        <f t="shared" si="3"/>
        <v>156</v>
      </c>
      <c r="G18" s="33">
        <f t="shared" si="0"/>
        <v>2.2024166666666662</v>
      </c>
      <c r="H18">
        <f t="shared" si="1"/>
        <v>2.1968333333333332</v>
      </c>
    </row>
    <row r="19" spans="1:8">
      <c r="A19" s="1">
        <v>42430.5</v>
      </c>
      <c r="B19">
        <v>3.4034482758620785</v>
      </c>
      <c r="C19">
        <f t="shared" si="2"/>
        <v>3.4034482758620785</v>
      </c>
      <c r="D19">
        <v>5.0999999999999996</v>
      </c>
      <c r="E19">
        <v>1415</v>
      </c>
      <c r="F19">
        <f t="shared" si="3"/>
        <v>104</v>
      </c>
      <c r="G19" s="33">
        <f t="shared" si="0"/>
        <v>1.4682777777777778</v>
      </c>
      <c r="H19">
        <f t="shared" si="1"/>
        <v>1.6068333333333333</v>
      </c>
    </row>
    <row r="20" spans="1:8">
      <c r="A20" s="1">
        <v>42461.5</v>
      </c>
      <c r="B20">
        <v>4.4032258064515979</v>
      </c>
      <c r="C20">
        <f t="shared" si="2"/>
        <v>4.4032258064515979</v>
      </c>
      <c r="D20">
        <v>6.5</v>
      </c>
      <c r="E20">
        <v>1515</v>
      </c>
      <c r="F20">
        <f t="shared" si="3"/>
        <v>100</v>
      </c>
      <c r="G20" s="33">
        <f t="shared" si="0"/>
        <v>1.4118055555555553</v>
      </c>
      <c r="H20">
        <f t="shared" si="1"/>
        <v>1.4691666666666667</v>
      </c>
    </row>
    <row r="21" spans="1:8">
      <c r="A21" s="1">
        <v>42491.5</v>
      </c>
      <c r="B21">
        <v>9.0266666666666584</v>
      </c>
      <c r="C21">
        <f t="shared" si="2"/>
        <v>9.0266666666666584</v>
      </c>
      <c r="D21">
        <v>12</v>
      </c>
      <c r="E21">
        <v>1576</v>
      </c>
      <c r="F21">
        <f t="shared" si="3"/>
        <v>61</v>
      </c>
      <c r="G21" s="33">
        <f t="shared" si="0"/>
        <v>0.86120138888888875</v>
      </c>
      <c r="H21">
        <f t="shared" si="1"/>
        <v>0.92833333333333334</v>
      </c>
    </row>
    <row r="22" spans="1:8">
      <c r="A22" s="1">
        <v>42522.5</v>
      </c>
      <c r="B22">
        <v>14.625806451612892</v>
      </c>
      <c r="C22">
        <f t="shared" si="2"/>
        <v>14.625806451612892</v>
      </c>
      <c r="D22">
        <v>16.399999999999999</v>
      </c>
      <c r="E22">
        <v>1613</v>
      </c>
      <c r="F22">
        <f t="shared" si="3"/>
        <v>37</v>
      </c>
      <c r="G22" s="33">
        <f t="shared" si="0"/>
        <v>0.52236805555555543</v>
      </c>
      <c r="H22">
        <f t="shared" si="1"/>
        <v>0.49566666666666681</v>
      </c>
    </row>
    <row r="23" spans="1:8">
      <c r="A23" s="1">
        <v>42552.5</v>
      </c>
      <c r="B23">
        <v>18.486666666666618</v>
      </c>
      <c r="C23">
        <f t="shared" si="2"/>
        <v>18.486666666666618</v>
      </c>
      <c r="D23">
        <v>21.7</v>
      </c>
      <c r="E23">
        <v>1630</v>
      </c>
      <c r="F23">
        <f t="shared" si="3"/>
        <v>17</v>
      </c>
      <c r="G23" s="33">
        <f t="shared" si="0"/>
        <v>0.2400069444444444</v>
      </c>
      <c r="H23">
        <f t="shared" si="1"/>
        <v>0.24</v>
      </c>
    </row>
    <row r="24" spans="1:8">
      <c r="A24" s="1">
        <v>42583.5</v>
      </c>
      <c r="B24">
        <v>19.922580645161272</v>
      </c>
      <c r="C24">
        <f t="shared" si="2"/>
        <v>19.922580645161272</v>
      </c>
      <c r="D24">
        <v>22.9</v>
      </c>
      <c r="E24">
        <v>1648</v>
      </c>
      <c r="F24">
        <f t="shared" si="3"/>
        <v>18</v>
      </c>
      <c r="G24" s="33">
        <f t="shared" si="0"/>
        <v>0.25412499999999999</v>
      </c>
      <c r="H24">
        <f t="shared" si="1"/>
        <v>0.24</v>
      </c>
    </row>
    <row r="25" spans="1:8">
      <c r="A25" s="1">
        <v>42614.5</v>
      </c>
      <c r="B25">
        <v>18.554838709677444</v>
      </c>
      <c r="C25">
        <f t="shared" si="2"/>
        <v>18.554838709677444</v>
      </c>
      <c r="D25">
        <v>20.8</v>
      </c>
      <c r="E25">
        <v>1665</v>
      </c>
      <c r="F25">
        <f t="shared" si="3"/>
        <v>17</v>
      </c>
      <c r="G25" s="33">
        <f t="shared" si="0"/>
        <v>0.2400069444444444</v>
      </c>
      <c r="H25">
        <f t="shared" si="1"/>
        <v>0.24</v>
      </c>
    </row>
    <row r="26" spans="1:8">
      <c r="A26" s="1">
        <v>42644.5</v>
      </c>
      <c r="B26">
        <v>17.559999999999945</v>
      </c>
      <c r="C26">
        <f t="shared" si="2"/>
        <v>17.559999999999945</v>
      </c>
      <c r="D26">
        <v>19.2</v>
      </c>
      <c r="E26">
        <v>1681</v>
      </c>
      <c r="F26">
        <f t="shared" si="3"/>
        <v>16</v>
      </c>
      <c r="G26" s="33">
        <f t="shared" si="0"/>
        <v>0.22588888888888886</v>
      </c>
      <c r="H26">
        <f t="shared" si="1"/>
        <v>0.24</v>
      </c>
    </row>
    <row r="27" spans="1:8">
      <c r="A27" s="1">
        <v>42675.5</v>
      </c>
      <c r="B27">
        <v>8.4258064516128393</v>
      </c>
      <c r="C27">
        <f t="shared" si="2"/>
        <v>8.4258064516128393</v>
      </c>
      <c r="D27">
        <v>9.9</v>
      </c>
      <c r="E27">
        <v>1739</v>
      </c>
      <c r="F27">
        <f t="shared" si="3"/>
        <v>58</v>
      </c>
      <c r="G27" s="33">
        <f t="shared" si="0"/>
        <v>0.81884722222222206</v>
      </c>
      <c r="H27">
        <f t="shared" si="1"/>
        <v>1.1348333333333334</v>
      </c>
    </row>
    <row r="28" spans="1:8">
      <c r="A28" s="1">
        <v>42705.5</v>
      </c>
      <c r="B28">
        <v>3.2900000000000245</v>
      </c>
      <c r="C28">
        <f t="shared" si="2"/>
        <v>3.2900000000000245</v>
      </c>
      <c r="D28">
        <v>4.5999999999999996</v>
      </c>
      <c r="E28">
        <v>1835</v>
      </c>
      <c r="G28" s="33">
        <f t="shared" si="0"/>
        <v>0</v>
      </c>
    </row>
    <row r="29" spans="1:8">
      <c r="A29" s="1">
        <v>42736.5</v>
      </c>
      <c r="B29">
        <v>0.53548387096778305</v>
      </c>
      <c r="G29" s="33">
        <f t="shared" si="0"/>
        <v>0</v>
      </c>
    </row>
    <row r="30" spans="1:8">
      <c r="A30" s="1">
        <v>42767.5</v>
      </c>
      <c r="B30">
        <v>-4.5935483870967921</v>
      </c>
      <c r="G30" s="33">
        <f t="shared" si="0"/>
        <v>0</v>
      </c>
    </row>
    <row r="31" spans="1:8">
      <c r="A31" s="1">
        <v>42795.5</v>
      </c>
      <c r="B31">
        <v>2.2964285714285455</v>
      </c>
      <c r="G31" s="33">
        <f t="shared" si="0"/>
        <v>0</v>
      </c>
    </row>
    <row r="32" spans="1:8">
      <c r="A32" s="1">
        <v>42826.5</v>
      </c>
      <c r="B32">
        <v>7.5483870967742233</v>
      </c>
      <c r="G32" s="33">
        <f t="shared" si="0"/>
        <v>0</v>
      </c>
    </row>
    <row r="33" spans="1:7">
      <c r="A33" s="1">
        <v>42856.5</v>
      </c>
      <c r="B33">
        <v>8.0766666666666733</v>
      </c>
      <c r="G33" s="33">
        <f t="shared" si="0"/>
        <v>0</v>
      </c>
    </row>
    <row r="34" spans="1:7">
      <c r="A34" s="1">
        <v>42887.5</v>
      </c>
      <c r="B34">
        <v>15.090322580645168</v>
      </c>
      <c r="G34" s="33">
        <f t="shared" si="0"/>
        <v>0</v>
      </c>
    </row>
    <row r="35" spans="1:7">
      <c r="A35" s="1">
        <v>42917.5</v>
      </c>
      <c r="B35">
        <v>19.273333333333298</v>
      </c>
      <c r="G35" s="33">
        <f t="shared" si="0"/>
        <v>0</v>
      </c>
    </row>
    <row r="36" spans="1:7">
      <c r="A36" s="1">
        <v>42948.5</v>
      </c>
      <c r="B36">
        <v>20.083870967741888</v>
      </c>
      <c r="G36" s="33">
        <f t="shared" si="0"/>
        <v>0</v>
      </c>
    </row>
    <row r="37" spans="1:7">
      <c r="A37" s="1">
        <v>42979.5</v>
      </c>
      <c r="B37">
        <v>19.338709677419356</v>
      </c>
      <c r="G37" s="33">
        <f t="shared" si="0"/>
        <v>0</v>
      </c>
    </row>
    <row r="38" spans="1:7">
      <c r="A38" s="1">
        <v>43009.5</v>
      </c>
      <c r="B38">
        <v>13.006666666666872</v>
      </c>
      <c r="G38" s="33">
        <f t="shared" si="0"/>
        <v>0</v>
      </c>
    </row>
    <row r="39" spans="1:7">
      <c r="A39" s="1">
        <v>43040.5</v>
      </c>
      <c r="B39">
        <v>10.809677419354909</v>
      </c>
      <c r="G39" s="33">
        <f t="shared" si="0"/>
        <v>0</v>
      </c>
    </row>
    <row r="40" spans="1:7">
      <c r="A40" s="1">
        <v>43070.5</v>
      </c>
      <c r="B40">
        <v>4.6066666666667517</v>
      </c>
      <c r="G40" s="33">
        <f t="shared" si="0"/>
        <v>0</v>
      </c>
    </row>
    <row r="41" spans="1:7">
      <c r="A41" s="1">
        <v>43101.5</v>
      </c>
      <c r="B41">
        <v>2.2806451612904635</v>
      </c>
      <c r="G41" s="33">
        <f t="shared" si="0"/>
        <v>0</v>
      </c>
    </row>
    <row r="42" spans="1:7">
      <c r="A42" s="1">
        <v>43132.5</v>
      </c>
      <c r="B42">
        <v>3.2483870967741582</v>
      </c>
      <c r="G42" s="33">
        <f t="shared" si="0"/>
        <v>0</v>
      </c>
    </row>
    <row r="43" spans="1:7">
      <c r="A43" s="1">
        <v>43160.5</v>
      </c>
      <c r="B43">
        <v>-2.5500000000000518</v>
      </c>
      <c r="G43" s="33">
        <f t="shared" si="0"/>
        <v>0</v>
      </c>
    </row>
    <row r="44" spans="1:7">
      <c r="A44" s="1">
        <v>43191.5</v>
      </c>
      <c r="B44">
        <v>2.3838709677420411</v>
      </c>
      <c r="G44" s="33">
        <f t="shared" si="0"/>
        <v>0</v>
      </c>
    </row>
    <row r="45" spans="1:7">
      <c r="A45" s="1">
        <v>43221.5</v>
      </c>
      <c r="B45">
        <v>13.99333333333337</v>
      </c>
      <c r="G45" s="33">
        <f t="shared" si="0"/>
        <v>0</v>
      </c>
    </row>
    <row r="46" spans="1:7">
      <c r="A46" s="1">
        <v>43252.5</v>
      </c>
      <c r="B46">
        <v>17.454838709677372</v>
      </c>
      <c r="G46" s="33">
        <f t="shared" si="0"/>
        <v>0</v>
      </c>
    </row>
    <row r="47" spans="1:7">
      <c r="A47" s="1">
        <v>43282.5</v>
      </c>
      <c r="B47">
        <v>18.759999999999977</v>
      </c>
      <c r="G47" s="33">
        <f t="shared" si="0"/>
        <v>0</v>
      </c>
    </row>
    <row r="48" spans="1:7">
      <c r="A48" s="1">
        <v>43313.5</v>
      </c>
      <c r="B48">
        <v>21.961290322580503</v>
      </c>
      <c r="G48" s="33">
        <f t="shared" si="0"/>
        <v>0</v>
      </c>
    </row>
    <row r="49" spans="1:7">
      <c r="A49" s="1">
        <v>43344.5</v>
      </c>
      <c r="B49">
        <v>21.751612903225901</v>
      </c>
      <c r="G49" s="33">
        <f t="shared" si="0"/>
        <v>0</v>
      </c>
    </row>
    <row r="50" spans="1:7">
      <c r="A50" s="1">
        <v>43374.5</v>
      </c>
      <c r="B50">
        <v>16.043333333333369</v>
      </c>
      <c r="G50" s="33">
        <f t="shared" si="0"/>
        <v>0</v>
      </c>
    </row>
    <row r="51" spans="1:7">
      <c r="A51" s="1">
        <v>43405.5</v>
      </c>
      <c r="B51">
        <v>11.01935483870969</v>
      </c>
      <c r="G51" s="33">
        <f t="shared" si="0"/>
        <v>0</v>
      </c>
    </row>
    <row r="52" spans="1:7">
      <c r="A52" s="1">
        <v>43435.5</v>
      </c>
      <c r="B52">
        <v>4.2866666666666786</v>
      </c>
      <c r="G52" s="33">
        <f t="shared" si="0"/>
        <v>0</v>
      </c>
    </row>
  </sheetData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52"/>
  <sheetViews>
    <sheetView workbookViewId="0">
      <selection activeCell="G1" sqref="G1:I15"/>
    </sheetView>
  </sheetViews>
  <sheetFormatPr defaultColWidth="7.85546875" defaultRowHeight="15"/>
  <cols>
    <col min="1" max="1" width="12.28515625" style="1" customWidth="1"/>
  </cols>
  <sheetData>
    <row r="1" spans="1:11">
      <c r="C1" t="s">
        <v>9</v>
      </c>
      <c r="E1">
        <f>E25-E13</f>
        <v>906.69999999999982</v>
      </c>
      <c r="F1" s="33" t="s">
        <v>35</v>
      </c>
      <c r="H1" s="2">
        <v>0.184</v>
      </c>
      <c r="I1" t="s">
        <v>8</v>
      </c>
      <c r="K1" t="s">
        <v>10</v>
      </c>
    </row>
    <row r="2" spans="1:11">
      <c r="E2">
        <f>E1*G3*10.7-H1*365*24</f>
        <v>7604.7654999999977</v>
      </c>
      <c r="F2" s="37">
        <f>E2/24/H2</f>
        <v>59.785892295597463</v>
      </c>
      <c r="H2" s="3">
        <v>5.3</v>
      </c>
      <c r="I2" t="s">
        <v>5</v>
      </c>
      <c r="K2" s="33" t="s">
        <v>36</v>
      </c>
    </row>
    <row r="3" spans="1:11">
      <c r="C3">
        <v>0</v>
      </c>
      <c r="D3" t="s">
        <v>0</v>
      </c>
      <c r="E3" t="s">
        <v>3</v>
      </c>
      <c r="F3" t="s">
        <v>4</v>
      </c>
      <c r="G3" s="2">
        <v>0.95</v>
      </c>
      <c r="H3" s="3">
        <v>15</v>
      </c>
      <c r="I3" t="s">
        <v>6</v>
      </c>
      <c r="K3" s="33" t="s">
        <v>37</v>
      </c>
    </row>
    <row r="4" spans="1:11">
      <c r="G4" t="s">
        <v>1</v>
      </c>
      <c r="H4" t="s">
        <v>2</v>
      </c>
      <c r="K4" s="33" t="s">
        <v>38</v>
      </c>
    </row>
    <row r="5" spans="1:11">
      <c r="A5" s="1">
        <v>42005.5</v>
      </c>
      <c r="K5" s="33" t="s">
        <v>39</v>
      </c>
    </row>
    <row r="6" spans="1:11">
      <c r="A6" s="1">
        <v>42036.5</v>
      </c>
      <c r="D6">
        <v>1.2</v>
      </c>
      <c r="K6" s="33" t="s">
        <v>98</v>
      </c>
    </row>
    <row r="7" spans="1:11">
      <c r="A7" s="1">
        <v>42064.5</v>
      </c>
      <c r="D7">
        <v>1.2</v>
      </c>
      <c r="F7">
        <v>143</v>
      </c>
      <c r="G7">
        <f>F7*10.7/30/24*G$3</f>
        <v>2.0188819444444444</v>
      </c>
      <c r="H7">
        <f>H$1+(IF(H$3-$D7&gt;0,H$3-$D7,0)*H$2/30)</f>
        <v>2.6220000000000003</v>
      </c>
    </row>
    <row r="8" spans="1:11">
      <c r="A8" s="1">
        <v>42095.5</v>
      </c>
      <c r="D8">
        <v>6.2</v>
      </c>
      <c r="F8">
        <f>(E8-E7)</f>
        <v>0</v>
      </c>
      <c r="G8" s="33">
        <f t="shared" ref="G8:G27" si="0">F8*10.7/30/24*G$3</f>
        <v>0</v>
      </c>
      <c r="H8">
        <f t="shared" ref="H8:H27" si="1">H$1+(IF(H$3-$D8&gt;0,H$3-$D8,0)*H$2/30)</f>
        <v>1.7386666666666666</v>
      </c>
    </row>
    <row r="9" spans="1:11">
      <c r="A9" s="1">
        <v>42125.5</v>
      </c>
      <c r="B9">
        <v>9.2499999999999982</v>
      </c>
      <c r="C9">
        <f>B9+C$3</f>
        <v>9.2499999999999982</v>
      </c>
      <c r="D9">
        <v>11.1</v>
      </c>
      <c r="F9">
        <f>(E9-E8)</f>
        <v>0</v>
      </c>
      <c r="G9" s="33">
        <f t="shared" si="0"/>
        <v>0</v>
      </c>
      <c r="H9">
        <f t="shared" si="1"/>
        <v>0.873</v>
      </c>
    </row>
    <row r="10" spans="1:11">
      <c r="A10" s="1">
        <v>42156.5</v>
      </c>
      <c r="B10">
        <v>13.748387096774204</v>
      </c>
      <c r="C10">
        <f t="shared" ref="C10:C28" si="2">B10+C$3</f>
        <v>13.748387096774204</v>
      </c>
      <c r="D10">
        <v>15.6</v>
      </c>
      <c r="F10">
        <f t="shared" ref="F10:F27" si="3">(E10-E9)</f>
        <v>0</v>
      </c>
      <c r="G10" s="33">
        <f t="shared" si="0"/>
        <v>0</v>
      </c>
      <c r="H10">
        <f t="shared" si="1"/>
        <v>0.184</v>
      </c>
    </row>
    <row r="11" spans="1:11">
      <c r="A11" s="1">
        <v>42186.5</v>
      </c>
      <c r="B11">
        <v>17.11</v>
      </c>
      <c r="C11">
        <f t="shared" si="2"/>
        <v>17.11</v>
      </c>
      <c r="D11">
        <v>20.8</v>
      </c>
      <c r="F11">
        <f t="shared" si="3"/>
        <v>0</v>
      </c>
      <c r="G11" s="33">
        <f t="shared" si="0"/>
        <v>0</v>
      </c>
      <c r="H11">
        <f t="shared" si="1"/>
        <v>0.184</v>
      </c>
    </row>
    <row r="12" spans="1:11">
      <c r="A12" s="1">
        <v>42217.5</v>
      </c>
      <c r="B12">
        <v>21.29032258064516</v>
      </c>
      <c r="C12">
        <f t="shared" si="2"/>
        <v>21.29032258064516</v>
      </c>
      <c r="D12">
        <v>25.1</v>
      </c>
      <c r="F12">
        <f t="shared" si="3"/>
        <v>0</v>
      </c>
      <c r="G12" s="33">
        <f t="shared" si="0"/>
        <v>0</v>
      </c>
      <c r="H12">
        <f t="shared" si="1"/>
        <v>0.184</v>
      </c>
    </row>
    <row r="13" spans="1:11">
      <c r="A13" s="1">
        <v>42248.5</v>
      </c>
      <c r="B13">
        <v>22.480645161290347</v>
      </c>
      <c r="C13">
        <f t="shared" si="2"/>
        <v>22.480645161290347</v>
      </c>
      <c r="D13">
        <v>25</v>
      </c>
      <c r="E13">
        <v>4037</v>
      </c>
      <c r="F13">
        <f t="shared" si="3"/>
        <v>4037</v>
      </c>
      <c r="G13" s="33">
        <f t="shared" si="0"/>
        <v>56.994590277777768</v>
      </c>
      <c r="H13">
        <f t="shared" si="1"/>
        <v>0.184</v>
      </c>
    </row>
    <row r="14" spans="1:11">
      <c r="A14" s="1">
        <v>42278.5</v>
      </c>
      <c r="B14">
        <v>14.083333333333348</v>
      </c>
      <c r="C14">
        <f t="shared" si="2"/>
        <v>14.083333333333348</v>
      </c>
      <c r="D14">
        <v>17.399999999999999</v>
      </c>
      <c r="E14">
        <v>4037</v>
      </c>
      <c r="F14">
        <f t="shared" si="3"/>
        <v>0</v>
      </c>
      <c r="G14" s="33">
        <f t="shared" si="0"/>
        <v>0</v>
      </c>
      <c r="H14">
        <f t="shared" si="1"/>
        <v>0.184</v>
      </c>
    </row>
    <row r="15" spans="1:11">
      <c r="A15" s="1">
        <v>42309.5</v>
      </c>
      <c r="B15">
        <v>8.6580645161290359</v>
      </c>
      <c r="C15">
        <f t="shared" si="2"/>
        <v>8.6580645161290359</v>
      </c>
      <c r="D15">
        <v>10.6</v>
      </c>
      <c r="E15">
        <v>4105</v>
      </c>
      <c r="F15">
        <f t="shared" si="3"/>
        <v>68</v>
      </c>
      <c r="G15" s="33">
        <f t="shared" si="0"/>
        <v>0.96002777777777759</v>
      </c>
      <c r="H15">
        <f t="shared" si="1"/>
        <v>0.96133333333333337</v>
      </c>
    </row>
    <row r="16" spans="1:11">
      <c r="A16" s="1">
        <v>42339.5</v>
      </c>
      <c r="B16">
        <v>6.8866666666666028</v>
      </c>
      <c r="C16">
        <f t="shared" si="2"/>
        <v>6.8866666666666028</v>
      </c>
      <c r="D16">
        <v>6.9</v>
      </c>
      <c r="E16">
        <v>4213</v>
      </c>
      <c r="F16">
        <f t="shared" si="3"/>
        <v>108</v>
      </c>
      <c r="G16" s="33">
        <f t="shared" si="0"/>
        <v>1.5247499999999996</v>
      </c>
      <c r="H16">
        <f t="shared" si="1"/>
        <v>1.615</v>
      </c>
    </row>
    <row r="17" spans="1:8">
      <c r="A17" s="1">
        <v>42370.5</v>
      </c>
      <c r="B17">
        <v>4.9032258064516272</v>
      </c>
      <c r="C17">
        <f t="shared" si="2"/>
        <v>4.9032258064516272</v>
      </c>
      <c r="D17">
        <v>3.5</v>
      </c>
      <c r="E17">
        <v>4369</v>
      </c>
      <c r="F17">
        <f t="shared" si="3"/>
        <v>156</v>
      </c>
      <c r="G17" s="33">
        <f t="shared" si="0"/>
        <v>2.2024166666666662</v>
      </c>
      <c r="H17">
        <f t="shared" si="1"/>
        <v>2.2156666666666669</v>
      </c>
    </row>
    <row r="18" spans="1:8">
      <c r="A18" s="1">
        <v>42401.5</v>
      </c>
      <c r="B18">
        <v>-0.25483870967740763</v>
      </c>
      <c r="C18">
        <f t="shared" si="2"/>
        <v>-0.25483870967740763</v>
      </c>
      <c r="D18">
        <v>-0.9</v>
      </c>
      <c r="E18">
        <v>4579.3</v>
      </c>
      <c r="F18">
        <f t="shared" si="3"/>
        <v>210.30000000000018</v>
      </c>
      <c r="G18" s="33">
        <f t="shared" si="0"/>
        <v>2.9690270833333354</v>
      </c>
      <c r="H18">
        <f t="shared" si="1"/>
        <v>2.9929999999999999</v>
      </c>
    </row>
    <row r="19" spans="1:8">
      <c r="A19" s="1">
        <v>42430.5</v>
      </c>
      <c r="B19">
        <v>3.4034482758620785</v>
      </c>
      <c r="C19">
        <f t="shared" si="2"/>
        <v>3.4034482758620785</v>
      </c>
      <c r="D19">
        <v>5.0999999999999996</v>
      </c>
      <c r="E19">
        <v>4723.7</v>
      </c>
      <c r="F19">
        <f t="shared" si="3"/>
        <v>144.39999999999964</v>
      </c>
      <c r="G19" s="33">
        <f t="shared" si="0"/>
        <v>2.0386472222222172</v>
      </c>
      <c r="H19">
        <f t="shared" si="1"/>
        <v>1.9329999999999998</v>
      </c>
    </row>
    <row r="20" spans="1:8">
      <c r="A20" s="1">
        <v>42461.5</v>
      </c>
      <c r="B20">
        <v>4.4032258064515979</v>
      </c>
      <c r="C20">
        <f t="shared" si="2"/>
        <v>4.4032258064515979</v>
      </c>
      <c r="D20">
        <v>6.5</v>
      </c>
      <c r="E20">
        <v>4844.2</v>
      </c>
      <c r="F20">
        <f t="shared" si="3"/>
        <v>120.5</v>
      </c>
      <c r="G20" s="33">
        <f t="shared" si="0"/>
        <v>1.7012256944444444</v>
      </c>
      <c r="H20">
        <f t="shared" si="1"/>
        <v>1.6856666666666664</v>
      </c>
    </row>
    <row r="21" spans="1:8">
      <c r="A21" s="1">
        <v>42491.5</v>
      </c>
      <c r="B21">
        <v>9.0266666666666584</v>
      </c>
      <c r="C21">
        <f t="shared" si="2"/>
        <v>9.0266666666666584</v>
      </c>
      <c r="D21">
        <v>12</v>
      </c>
      <c r="E21">
        <v>4889.3999999999996</v>
      </c>
      <c r="F21">
        <f t="shared" si="3"/>
        <v>45.199999999999818</v>
      </c>
      <c r="G21" s="33">
        <f t="shared" si="0"/>
        <v>0.63813611111110835</v>
      </c>
      <c r="H21">
        <f t="shared" si="1"/>
        <v>0.71399999999999997</v>
      </c>
    </row>
    <row r="22" spans="1:8">
      <c r="A22" s="1">
        <v>42522.5</v>
      </c>
      <c r="B22">
        <v>14.625806451612892</v>
      </c>
      <c r="C22">
        <f t="shared" si="2"/>
        <v>14.625806451612892</v>
      </c>
      <c r="D22">
        <v>16.399999999999999</v>
      </c>
      <c r="E22">
        <v>4908.8999999999996</v>
      </c>
      <c r="F22">
        <f t="shared" si="3"/>
        <v>19.5</v>
      </c>
      <c r="G22" s="33">
        <f t="shared" si="0"/>
        <v>0.27530208333333328</v>
      </c>
      <c r="H22">
        <f t="shared" si="1"/>
        <v>0.184</v>
      </c>
    </row>
    <row r="23" spans="1:8">
      <c r="A23" s="1">
        <v>42552.5</v>
      </c>
      <c r="B23">
        <v>18.486666666666618</v>
      </c>
      <c r="C23">
        <f t="shared" si="2"/>
        <v>18.486666666666618</v>
      </c>
      <c r="D23">
        <v>21.7</v>
      </c>
      <c r="E23">
        <v>4919.3999999999996</v>
      </c>
      <c r="F23">
        <f t="shared" si="3"/>
        <v>10.5</v>
      </c>
      <c r="G23" s="33">
        <f t="shared" si="0"/>
        <v>0.14823958333333331</v>
      </c>
      <c r="H23">
        <f t="shared" si="1"/>
        <v>0.184</v>
      </c>
    </row>
    <row r="24" spans="1:8">
      <c r="A24" s="1">
        <v>42583.5</v>
      </c>
      <c r="B24">
        <v>19.922580645161272</v>
      </c>
      <c r="C24">
        <f t="shared" si="2"/>
        <v>19.922580645161272</v>
      </c>
      <c r="D24">
        <v>22.9</v>
      </c>
      <c r="E24">
        <v>4931.8</v>
      </c>
      <c r="F24">
        <f t="shared" si="3"/>
        <v>12.400000000000546</v>
      </c>
      <c r="G24" s="33">
        <f t="shared" si="0"/>
        <v>0.17506388888889657</v>
      </c>
      <c r="H24">
        <f t="shared" si="1"/>
        <v>0.184</v>
      </c>
    </row>
    <row r="25" spans="1:8">
      <c r="A25" s="1">
        <v>42614.5</v>
      </c>
      <c r="B25">
        <v>18.554838709677444</v>
      </c>
      <c r="C25">
        <f t="shared" si="2"/>
        <v>18.554838709677444</v>
      </c>
      <c r="D25">
        <v>20.8</v>
      </c>
      <c r="E25">
        <v>4943.7</v>
      </c>
      <c r="F25">
        <f t="shared" si="3"/>
        <v>11.899999999999636</v>
      </c>
      <c r="G25" s="33">
        <f t="shared" si="0"/>
        <v>0.16800486111110599</v>
      </c>
      <c r="H25">
        <f t="shared" si="1"/>
        <v>0.184</v>
      </c>
    </row>
    <row r="26" spans="1:8">
      <c r="A26" s="1">
        <v>42644.5</v>
      </c>
      <c r="B26">
        <v>17.559999999999945</v>
      </c>
      <c r="C26">
        <f t="shared" si="2"/>
        <v>17.559999999999945</v>
      </c>
      <c r="D26">
        <v>19.2</v>
      </c>
      <c r="E26">
        <v>4955.3999999999996</v>
      </c>
      <c r="F26">
        <f t="shared" si="3"/>
        <v>11.699999999999818</v>
      </c>
      <c r="G26" s="33">
        <f t="shared" si="0"/>
        <v>0.16518124999999745</v>
      </c>
      <c r="H26">
        <f t="shared" si="1"/>
        <v>0.184</v>
      </c>
    </row>
    <row r="27" spans="1:8">
      <c r="A27" s="1">
        <v>42675.5</v>
      </c>
      <c r="B27">
        <v>8.4258064516128393</v>
      </c>
      <c r="C27">
        <f t="shared" si="2"/>
        <v>8.4258064516128393</v>
      </c>
      <c r="D27">
        <v>9.9</v>
      </c>
      <c r="E27">
        <v>5046</v>
      </c>
      <c r="F27">
        <f t="shared" si="3"/>
        <v>90.600000000000364</v>
      </c>
      <c r="G27" s="33">
        <f t="shared" si="0"/>
        <v>1.2790958333333382</v>
      </c>
      <c r="H27">
        <f t="shared" si="1"/>
        <v>1.085</v>
      </c>
    </row>
    <row r="28" spans="1:8">
      <c r="A28" s="1">
        <v>42705.5</v>
      </c>
      <c r="B28">
        <v>3.2900000000000245</v>
      </c>
      <c r="C28">
        <f t="shared" si="2"/>
        <v>3.2900000000000245</v>
      </c>
      <c r="D28">
        <v>4.5999999999999996</v>
      </c>
      <c r="E28">
        <v>5183.3999999999996</v>
      </c>
    </row>
    <row r="29" spans="1:8">
      <c r="A29" s="1">
        <v>42736.5</v>
      </c>
      <c r="B29">
        <v>0.53548387096778305</v>
      </c>
    </row>
    <row r="30" spans="1:8">
      <c r="A30" s="1">
        <v>42767.5</v>
      </c>
      <c r="B30">
        <v>-4.5935483870967921</v>
      </c>
    </row>
    <row r="31" spans="1:8">
      <c r="A31" s="1">
        <v>42795.5</v>
      </c>
      <c r="B31">
        <v>2.2964285714285455</v>
      </c>
    </row>
    <row r="32" spans="1:8">
      <c r="A32" s="1">
        <v>42826.5</v>
      </c>
      <c r="B32">
        <v>7.5483870967742233</v>
      </c>
    </row>
    <row r="33" spans="1:2">
      <c r="A33" s="1">
        <v>42856.5</v>
      </c>
      <c r="B33">
        <v>8.0766666666666733</v>
      </c>
    </row>
    <row r="34" spans="1:2">
      <c r="A34" s="1">
        <v>42887.5</v>
      </c>
      <c r="B34">
        <v>15.090322580645168</v>
      </c>
    </row>
    <row r="35" spans="1:2">
      <c r="A35" s="1">
        <v>42917.5</v>
      </c>
      <c r="B35">
        <v>19.273333333333298</v>
      </c>
    </row>
    <row r="36" spans="1:2">
      <c r="A36" s="1">
        <v>42948.5</v>
      </c>
      <c r="B36">
        <v>20.083870967741888</v>
      </c>
    </row>
    <row r="37" spans="1:2">
      <c r="A37" s="1">
        <v>42979.5</v>
      </c>
      <c r="B37">
        <v>19.338709677419356</v>
      </c>
    </row>
    <row r="38" spans="1:2">
      <c r="A38" s="1">
        <v>43009.5</v>
      </c>
      <c r="B38">
        <v>13.006666666666872</v>
      </c>
    </row>
    <row r="39" spans="1:2">
      <c r="A39" s="1">
        <v>43040.5</v>
      </c>
      <c r="B39">
        <v>10.809677419354909</v>
      </c>
    </row>
    <row r="40" spans="1:2">
      <c r="A40" s="1">
        <v>43070.5</v>
      </c>
      <c r="B40">
        <v>4.6066666666667517</v>
      </c>
    </row>
    <row r="41" spans="1:2">
      <c r="A41" s="1">
        <v>43101.5</v>
      </c>
      <c r="B41">
        <v>2.2806451612904635</v>
      </c>
    </row>
    <row r="42" spans="1:2">
      <c r="A42" s="1">
        <v>43132.5</v>
      </c>
      <c r="B42">
        <v>3.2483870967741582</v>
      </c>
    </row>
    <row r="43" spans="1:2">
      <c r="A43" s="1">
        <v>43160.5</v>
      </c>
      <c r="B43">
        <v>-2.5500000000000518</v>
      </c>
    </row>
    <row r="44" spans="1:2">
      <c r="A44" s="1">
        <v>43191.5</v>
      </c>
      <c r="B44">
        <v>2.3838709677420411</v>
      </c>
    </row>
    <row r="45" spans="1:2">
      <c r="A45" s="1">
        <v>43221.5</v>
      </c>
      <c r="B45">
        <v>13.99333333333337</v>
      </c>
    </row>
    <row r="46" spans="1:2">
      <c r="A46" s="1">
        <v>43252.5</v>
      </c>
      <c r="B46">
        <v>17.454838709677372</v>
      </c>
    </row>
    <row r="47" spans="1:2">
      <c r="A47" s="1">
        <v>43282.5</v>
      </c>
      <c r="B47">
        <v>18.759999999999977</v>
      </c>
    </row>
    <row r="48" spans="1:2">
      <c r="A48" s="1">
        <v>43313.5</v>
      </c>
      <c r="B48">
        <v>21.961290322580503</v>
      </c>
    </row>
    <row r="49" spans="1:2">
      <c r="A49" s="1">
        <v>43344.5</v>
      </c>
      <c r="B49">
        <v>21.751612903225901</v>
      </c>
    </row>
    <row r="50" spans="1:2">
      <c r="A50" s="1">
        <v>43374.5</v>
      </c>
      <c r="B50">
        <v>16.043333333333369</v>
      </c>
    </row>
    <row r="51" spans="1:2">
      <c r="A51" s="1">
        <v>43405.5</v>
      </c>
      <c r="B51">
        <v>11.01935483870969</v>
      </c>
    </row>
    <row r="52" spans="1:2">
      <c r="A52" s="1">
        <v>43435.5</v>
      </c>
      <c r="B52">
        <v>4.2866666666666786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162"/>
  <sheetViews>
    <sheetView workbookViewId="0">
      <selection activeCell="A2" sqref="A2"/>
    </sheetView>
  </sheetViews>
  <sheetFormatPr defaultColWidth="5.42578125" defaultRowHeight="15"/>
  <cols>
    <col min="1" max="1" width="7.28515625" style="33" customWidth="1"/>
    <col min="2" max="16384" width="5.42578125" style="33"/>
  </cols>
  <sheetData>
    <row r="1" spans="1:27" s="109" customFormat="1">
      <c r="A1" s="141" t="s">
        <v>1526</v>
      </c>
      <c r="E1" s="110" t="s">
        <v>357</v>
      </c>
      <c r="R1" s="72">
        <v>2.2000000000000002</v>
      </c>
      <c r="S1" s="33" t="s">
        <v>79</v>
      </c>
      <c r="V1" s="69" t="s">
        <v>237</v>
      </c>
    </row>
    <row r="2" spans="1:27">
      <c r="A2" s="33" t="s">
        <v>82</v>
      </c>
      <c r="C2" s="33">
        <v>-3.3589000000000002</v>
      </c>
      <c r="E2" s="33" t="s">
        <v>81</v>
      </c>
      <c r="F2" s="140" t="s">
        <v>1466</v>
      </c>
      <c r="O2" s="33" t="s">
        <v>80</v>
      </c>
      <c r="Q2" s="2">
        <v>0.15</v>
      </c>
      <c r="R2" s="73">
        <v>15</v>
      </c>
      <c r="S2" s="33" t="s">
        <v>6</v>
      </c>
      <c r="T2" s="33">
        <f>R1/30</f>
        <v>7.3333333333333334E-2</v>
      </c>
      <c r="V2" s="70" t="s">
        <v>296</v>
      </c>
    </row>
    <row r="3" spans="1:27" ht="99" customHeight="1">
      <c r="A3" s="120">
        <f>A4</f>
        <v>42979</v>
      </c>
      <c r="B3" s="120" t="s">
        <v>78</v>
      </c>
      <c r="C3" s="120" t="s">
        <v>77</v>
      </c>
      <c r="D3" s="120" t="s">
        <v>76</v>
      </c>
      <c r="E3" s="120" t="s">
        <v>75</v>
      </c>
      <c r="F3" s="120" t="s">
        <v>74</v>
      </c>
      <c r="G3" s="120" t="s">
        <v>73</v>
      </c>
      <c r="H3" s="120" t="s">
        <v>72</v>
      </c>
      <c r="I3" s="120" t="s">
        <v>71</v>
      </c>
      <c r="J3" s="120" t="s">
        <v>70</v>
      </c>
      <c r="K3" s="120" t="s">
        <v>69</v>
      </c>
      <c r="L3" s="120" t="s">
        <v>68</v>
      </c>
      <c r="M3" s="120" t="s">
        <v>67</v>
      </c>
      <c r="N3" s="120" t="s">
        <v>66</v>
      </c>
      <c r="O3" s="120" t="s">
        <v>64</v>
      </c>
      <c r="P3" s="120" t="s">
        <v>1087</v>
      </c>
      <c r="Q3" s="120" t="s">
        <v>63</v>
      </c>
      <c r="R3" s="120" t="s">
        <v>1480</v>
      </c>
      <c r="S3" s="120"/>
      <c r="U3" s="33" t="s">
        <v>62</v>
      </c>
    </row>
    <row r="4" spans="1:27">
      <c r="A4" s="34">
        <v>42979</v>
      </c>
      <c r="B4" s="30">
        <v>13.006666666666684</v>
      </c>
      <c r="C4" s="30">
        <f t="shared" ref="C4:C47" si="0">B4+C$2</f>
        <v>9.6477666666666835</v>
      </c>
      <c r="D4" s="33">
        <v>10.1</v>
      </c>
      <c r="H4" s="33">
        <v>246</v>
      </c>
      <c r="I4" s="33">
        <v>46</v>
      </c>
      <c r="J4" s="33">
        <f t="shared" ref="J4:J26" si="1">H4+I4</f>
        <v>292</v>
      </c>
      <c r="M4" s="33">
        <f t="shared" ref="M4:M45" si="2">J4/30/24</f>
        <v>0.4055555555555555</v>
      </c>
      <c r="N4" s="33">
        <f t="shared" ref="N4:N15" si="3">K4+M4</f>
        <v>0.4055555555555555</v>
      </c>
      <c r="O4" s="33">
        <f>M4-L4-Q$2</f>
        <v>0.25555555555555554</v>
      </c>
      <c r="Q4" s="33">
        <f>M4</f>
        <v>0.4055555555555555</v>
      </c>
      <c r="R4" s="33">
        <f t="shared" ref="R4:R24" si="4">IF(R$2-D4&gt;0,R$2-D4,0)*R$1/30</f>
        <v>0.35933333333333339</v>
      </c>
      <c r="T4" s="33">
        <f t="shared" ref="T4:T12" si="5">Q4*24*30</f>
        <v>292</v>
      </c>
      <c r="U4" s="33">
        <f t="shared" ref="U4:U26" si="6">21-D4</f>
        <v>10.9</v>
      </c>
      <c r="V4" s="33">
        <f t="shared" ref="V4:V14" si="7">L4*24*30</f>
        <v>0</v>
      </c>
      <c r="X4" s="33">
        <f>SUM(J4:J15)</f>
        <v>5560</v>
      </c>
      <c r="Y4" s="33">
        <v>2.5</v>
      </c>
      <c r="Z4" s="33">
        <f>X4*Y4</f>
        <v>13900</v>
      </c>
      <c r="AA4" s="141" t="s">
        <v>1084</v>
      </c>
    </row>
    <row r="5" spans="1:27">
      <c r="A5" s="34">
        <v>43009</v>
      </c>
      <c r="B5" s="30">
        <v>10.809677419354829</v>
      </c>
      <c r="C5" s="30">
        <f t="shared" si="0"/>
        <v>7.4507774193548286</v>
      </c>
      <c r="D5" s="33">
        <v>8.6999999999999993</v>
      </c>
      <c r="H5" s="33">
        <v>290</v>
      </c>
      <c r="I5" s="33">
        <v>47</v>
      </c>
      <c r="J5" s="33">
        <f t="shared" si="1"/>
        <v>337</v>
      </c>
      <c r="M5" s="33">
        <f t="shared" si="2"/>
        <v>0.4680555555555555</v>
      </c>
      <c r="N5" s="33">
        <f t="shared" si="3"/>
        <v>0.4680555555555555</v>
      </c>
      <c r="O5" s="117">
        <f t="shared" ref="O5:O26" si="8">M5-L5-Q$2</f>
        <v>0.31805555555555554</v>
      </c>
      <c r="Q5" s="117">
        <f t="shared" ref="Q5:Q45" si="9">M5</f>
        <v>0.4680555555555555</v>
      </c>
      <c r="R5" s="40">
        <f t="shared" si="4"/>
        <v>0.46200000000000008</v>
      </c>
      <c r="T5" s="33">
        <f t="shared" si="5"/>
        <v>337</v>
      </c>
      <c r="U5" s="33">
        <f t="shared" si="6"/>
        <v>12.3</v>
      </c>
      <c r="V5" s="33">
        <f t="shared" si="7"/>
        <v>0</v>
      </c>
      <c r="X5" s="33">
        <f>SUM(J17:J28)+400</f>
        <v>5409</v>
      </c>
      <c r="Y5" s="33">
        <v>2.5</v>
      </c>
      <c r="Z5" s="141">
        <f>X5*Y5</f>
        <v>13522.5</v>
      </c>
      <c r="AA5" s="141" t="s">
        <v>1085</v>
      </c>
    </row>
    <row r="6" spans="1:27">
      <c r="A6" s="34">
        <v>43040</v>
      </c>
      <c r="B6" s="30">
        <v>4.6066666666666602</v>
      </c>
      <c r="C6" s="30">
        <f t="shared" si="0"/>
        <v>1.24776666666666</v>
      </c>
      <c r="D6" s="33">
        <v>1.9</v>
      </c>
      <c r="E6" s="33">
        <v>28</v>
      </c>
      <c r="F6" s="33">
        <v>11</v>
      </c>
      <c r="G6" s="33">
        <v>131</v>
      </c>
      <c r="H6" s="33">
        <v>506</v>
      </c>
      <c r="I6" s="33">
        <v>62</v>
      </c>
      <c r="J6" s="33">
        <f t="shared" si="1"/>
        <v>568</v>
      </c>
      <c r="K6" s="33">
        <v>0.69825000000000004</v>
      </c>
      <c r="L6" s="33">
        <f>G6/30/24</f>
        <v>0.18194444444444444</v>
      </c>
      <c r="M6" s="33">
        <f t="shared" si="2"/>
        <v>0.78888888888888886</v>
      </c>
      <c r="N6" s="33">
        <f t="shared" si="3"/>
        <v>1.487138888888889</v>
      </c>
      <c r="O6" s="117">
        <f t="shared" si="8"/>
        <v>0.45694444444444438</v>
      </c>
      <c r="P6" s="33">
        <f>L6</f>
        <v>0.18194444444444444</v>
      </c>
      <c r="Q6" s="117">
        <f t="shared" si="9"/>
        <v>0.78888888888888886</v>
      </c>
      <c r="R6" s="40">
        <f t="shared" si="4"/>
        <v>0.96066666666666667</v>
      </c>
      <c r="T6" s="33">
        <f t="shared" si="5"/>
        <v>568</v>
      </c>
      <c r="U6" s="33">
        <f t="shared" si="6"/>
        <v>19.100000000000001</v>
      </c>
      <c r="V6" s="33">
        <f t="shared" si="7"/>
        <v>131</v>
      </c>
    </row>
    <row r="7" spans="1:27">
      <c r="A7" s="34">
        <v>43070</v>
      </c>
      <c r="B7" s="30">
        <v>2.2806451612903094</v>
      </c>
      <c r="C7" s="30">
        <f t="shared" si="0"/>
        <v>-1.0782548387096909</v>
      </c>
      <c r="D7" s="33">
        <v>-0.8</v>
      </c>
      <c r="E7" s="33">
        <v>18.34</v>
      </c>
      <c r="F7" s="33">
        <v>28</v>
      </c>
      <c r="G7" s="33">
        <v>216</v>
      </c>
      <c r="H7" s="33">
        <v>728</v>
      </c>
      <c r="I7" s="33">
        <v>83</v>
      </c>
      <c r="J7" s="33">
        <f t="shared" si="1"/>
        <v>811</v>
      </c>
      <c r="K7" s="33">
        <v>0.65107000000000004</v>
      </c>
      <c r="L7" s="33">
        <f>G7/30/24</f>
        <v>0.3</v>
      </c>
      <c r="M7" s="33">
        <f t="shared" si="2"/>
        <v>1.1263888888888889</v>
      </c>
      <c r="N7" s="33">
        <f t="shared" si="3"/>
        <v>1.7774588888888889</v>
      </c>
      <c r="O7" s="117">
        <f t="shared" si="8"/>
        <v>0.67638888888888882</v>
      </c>
      <c r="P7" s="70">
        <f t="shared" ref="P7:P10" si="10">L7</f>
        <v>0.3</v>
      </c>
      <c r="Q7" s="117">
        <f t="shared" si="9"/>
        <v>1.1263888888888889</v>
      </c>
      <c r="R7" s="40">
        <f t="shared" si="4"/>
        <v>1.1586666666666667</v>
      </c>
      <c r="S7" s="141"/>
      <c r="T7" s="33">
        <f t="shared" si="5"/>
        <v>811</v>
      </c>
      <c r="U7" s="33">
        <f t="shared" si="6"/>
        <v>21.8</v>
      </c>
      <c r="V7" s="33">
        <f t="shared" si="7"/>
        <v>215.99999999999997</v>
      </c>
      <c r="X7" s="33">
        <v>4</v>
      </c>
      <c r="Z7" s="46">
        <f>X7*0.1*365*100</f>
        <v>14600</v>
      </c>
      <c r="AA7" s="141" t="s">
        <v>1086</v>
      </c>
    </row>
    <row r="8" spans="1:27">
      <c r="A8" s="34">
        <v>43101</v>
      </c>
      <c r="B8" s="30">
        <v>3.2483870967742026</v>
      </c>
      <c r="C8" s="30">
        <f t="shared" si="0"/>
        <v>-0.11051290322579765</v>
      </c>
      <c r="D8" s="33">
        <v>0.3</v>
      </c>
      <c r="E8" s="33">
        <v>17.350000000000001</v>
      </c>
      <c r="F8" s="33">
        <v>18</v>
      </c>
      <c r="G8" s="33">
        <v>330</v>
      </c>
      <c r="H8" s="33">
        <v>724</v>
      </c>
      <c r="I8" s="33">
        <v>64</v>
      </c>
      <c r="J8" s="33">
        <f t="shared" si="1"/>
        <v>788</v>
      </c>
      <c r="K8" s="33">
        <v>0.50640312499999995</v>
      </c>
      <c r="L8" s="33">
        <f>G8/30/24</f>
        <v>0.45833333333333331</v>
      </c>
      <c r="M8" s="33">
        <f t="shared" si="2"/>
        <v>1.0944444444444443</v>
      </c>
      <c r="N8" s="33">
        <f t="shared" si="3"/>
        <v>1.6008475694444444</v>
      </c>
      <c r="O8" s="117">
        <f t="shared" si="8"/>
        <v>0.48611111111111105</v>
      </c>
      <c r="P8" s="70">
        <f t="shared" si="10"/>
        <v>0.45833333333333331</v>
      </c>
      <c r="Q8" s="117">
        <f t="shared" si="9"/>
        <v>1.0944444444444443</v>
      </c>
      <c r="R8" s="40">
        <f t="shared" si="4"/>
        <v>1.0780000000000001</v>
      </c>
      <c r="S8" s="141"/>
      <c r="T8" s="33">
        <f t="shared" si="5"/>
        <v>788</v>
      </c>
      <c r="U8" s="33">
        <f t="shared" si="6"/>
        <v>20.7</v>
      </c>
      <c r="V8" s="33">
        <f t="shared" si="7"/>
        <v>330</v>
      </c>
      <c r="Y8" s="46"/>
      <c r="Z8" s="46"/>
    </row>
    <row r="9" spans="1:27">
      <c r="A9" s="34">
        <v>43132</v>
      </c>
      <c r="B9" s="30">
        <v>-2.5500000000000114</v>
      </c>
      <c r="C9" s="30">
        <f t="shared" si="0"/>
        <v>-5.9089000000000116</v>
      </c>
      <c r="D9" s="33">
        <v>-5.7</v>
      </c>
      <c r="E9" s="33">
        <v>47.4</v>
      </c>
      <c r="F9" s="33">
        <v>22</v>
      </c>
      <c r="G9" s="33">
        <v>430</v>
      </c>
      <c r="H9" s="33">
        <v>776</v>
      </c>
      <c r="I9" s="33">
        <v>47</v>
      </c>
      <c r="J9" s="33">
        <f t="shared" si="1"/>
        <v>823</v>
      </c>
      <c r="K9" s="33">
        <v>0.75839999999999996</v>
      </c>
      <c r="L9" s="33">
        <f>G9/30/24</f>
        <v>0.59722222222222221</v>
      </c>
      <c r="M9" s="33">
        <f t="shared" si="2"/>
        <v>1.1430555555555555</v>
      </c>
      <c r="N9" s="33">
        <f t="shared" si="3"/>
        <v>1.9014555555555555</v>
      </c>
      <c r="O9" s="117">
        <f t="shared" si="8"/>
        <v>0.39583333333333326</v>
      </c>
      <c r="P9" s="70">
        <f t="shared" si="10"/>
        <v>0.59722222222222221</v>
      </c>
      <c r="Q9" s="117">
        <f t="shared" si="9"/>
        <v>1.1430555555555555</v>
      </c>
      <c r="R9" s="40">
        <f t="shared" si="4"/>
        <v>1.518</v>
      </c>
      <c r="S9" s="141"/>
      <c r="T9" s="33">
        <f t="shared" si="5"/>
        <v>822.99999999999989</v>
      </c>
      <c r="U9" s="33">
        <f t="shared" si="6"/>
        <v>26.7</v>
      </c>
      <c r="V9" s="33">
        <f t="shared" si="7"/>
        <v>429.99999999999994</v>
      </c>
      <c r="Y9" s="46"/>
      <c r="Z9" s="46"/>
    </row>
    <row r="10" spans="1:27">
      <c r="A10" s="34">
        <v>43160</v>
      </c>
      <c r="B10" s="30">
        <v>2.3838709677419456</v>
      </c>
      <c r="C10" s="30">
        <f t="shared" si="0"/>
        <v>-0.9750290322580546</v>
      </c>
      <c r="D10" s="33">
        <v>-1.6</v>
      </c>
      <c r="E10" s="33">
        <v>62.37</v>
      </c>
      <c r="F10" s="33">
        <v>23</v>
      </c>
      <c r="G10" s="33">
        <v>370</v>
      </c>
      <c r="H10" s="33">
        <v>743</v>
      </c>
      <c r="I10" s="33">
        <v>53</v>
      </c>
      <c r="J10" s="33">
        <f t="shared" si="1"/>
        <v>796</v>
      </c>
      <c r="K10" s="33">
        <v>0.53404312500000006</v>
      </c>
      <c r="L10" s="33">
        <f>G10/30/24</f>
        <v>0.51388888888888895</v>
      </c>
      <c r="M10" s="33">
        <f t="shared" si="2"/>
        <v>1.1055555555555556</v>
      </c>
      <c r="N10" s="33">
        <f t="shared" si="3"/>
        <v>1.6395986805555558</v>
      </c>
      <c r="O10" s="117">
        <f t="shared" si="8"/>
        <v>0.44166666666666665</v>
      </c>
      <c r="P10" s="70">
        <f t="shared" si="10"/>
        <v>0.51388888888888895</v>
      </c>
      <c r="Q10" s="117">
        <f t="shared" si="9"/>
        <v>1.1055555555555556</v>
      </c>
      <c r="R10" s="40">
        <f t="shared" si="4"/>
        <v>1.2173333333333334</v>
      </c>
      <c r="S10" s="141"/>
      <c r="T10" s="33">
        <f t="shared" si="5"/>
        <v>796</v>
      </c>
      <c r="U10" s="33">
        <f t="shared" si="6"/>
        <v>22.6</v>
      </c>
      <c r="V10" s="33">
        <f t="shared" si="7"/>
        <v>370.00000000000006</v>
      </c>
      <c r="Y10" s="46"/>
      <c r="Z10" s="46"/>
    </row>
    <row r="11" spans="1:27">
      <c r="A11" s="34">
        <v>43191</v>
      </c>
      <c r="B11" s="30">
        <v>13.993333333333316</v>
      </c>
      <c r="C11" s="30">
        <f t="shared" si="0"/>
        <v>10.634433333333316</v>
      </c>
      <c r="D11" s="33">
        <v>10.3</v>
      </c>
      <c r="E11" s="33">
        <v>134.72</v>
      </c>
      <c r="H11" s="33">
        <v>286</v>
      </c>
      <c r="I11" s="33">
        <v>42</v>
      </c>
      <c r="J11" s="33">
        <f t="shared" si="1"/>
        <v>328</v>
      </c>
      <c r="K11" s="33">
        <v>0.59529399999999999</v>
      </c>
      <c r="M11" s="33">
        <f t="shared" si="2"/>
        <v>0.45555555555555555</v>
      </c>
      <c r="N11" s="33">
        <f t="shared" si="3"/>
        <v>1.0508495555555555</v>
      </c>
      <c r="O11" s="117">
        <f t="shared" si="8"/>
        <v>0.30555555555555558</v>
      </c>
      <c r="Q11" s="117">
        <f t="shared" si="9"/>
        <v>0.45555555555555555</v>
      </c>
      <c r="R11" s="40">
        <f t="shared" si="4"/>
        <v>0.34466666666666668</v>
      </c>
      <c r="T11" s="33">
        <f t="shared" si="5"/>
        <v>328</v>
      </c>
      <c r="U11" s="33">
        <f t="shared" si="6"/>
        <v>10.7</v>
      </c>
      <c r="V11" s="33">
        <f t="shared" si="7"/>
        <v>0</v>
      </c>
    </row>
    <row r="12" spans="1:27">
      <c r="A12" s="34">
        <v>43221</v>
      </c>
      <c r="B12" s="30">
        <v>17.454838709677432</v>
      </c>
      <c r="C12" s="30">
        <f t="shared" si="0"/>
        <v>14.095938709677432</v>
      </c>
      <c r="D12" s="33">
        <v>13.7</v>
      </c>
      <c r="E12" s="33">
        <v>164.02</v>
      </c>
      <c r="H12" s="33">
        <v>187</v>
      </c>
      <c r="I12" s="33">
        <v>34</v>
      </c>
      <c r="J12" s="33">
        <f t="shared" si="1"/>
        <v>221</v>
      </c>
      <c r="K12" s="33">
        <v>0.426452</v>
      </c>
      <c r="M12" s="33">
        <f t="shared" si="2"/>
        <v>0.30694444444444441</v>
      </c>
      <c r="N12" s="33">
        <f t="shared" si="3"/>
        <v>0.73339644444444441</v>
      </c>
      <c r="O12" s="117">
        <f t="shared" si="8"/>
        <v>0.15694444444444441</v>
      </c>
      <c r="Q12" s="117">
        <f t="shared" si="9"/>
        <v>0.30694444444444441</v>
      </c>
      <c r="R12" s="40">
        <f t="shared" si="4"/>
        <v>9.5333333333333395E-2</v>
      </c>
      <c r="T12" s="33">
        <f t="shared" si="5"/>
        <v>220.99999999999997</v>
      </c>
      <c r="U12" s="33">
        <f t="shared" si="6"/>
        <v>7.3000000000000007</v>
      </c>
      <c r="V12" s="33">
        <f t="shared" si="7"/>
        <v>0</v>
      </c>
    </row>
    <row r="13" spans="1:27">
      <c r="A13" s="34">
        <v>43252</v>
      </c>
      <c r="B13" s="30">
        <v>18.760000000000005</v>
      </c>
      <c r="C13" s="30">
        <f t="shared" si="0"/>
        <v>15.401100000000005</v>
      </c>
      <c r="D13" s="33">
        <v>14.9</v>
      </c>
      <c r="E13" s="33">
        <v>149.44999999999999</v>
      </c>
      <c r="H13" s="33">
        <v>184</v>
      </c>
      <c r="I13" s="33">
        <v>32</v>
      </c>
      <c r="J13" s="33">
        <f t="shared" si="1"/>
        <v>216</v>
      </c>
      <c r="K13" s="33">
        <v>0.29329562499999995</v>
      </c>
      <c r="M13" s="33">
        <f t="shared" si="2"/>
        <v>0.3</v>
      </c>
      <c r="N13" s="33">
        <f t="shared" si="3"/>
        <v>0.59329562499999988</v>
      </c>
      <c r="O13" s="117">
        <f t="shared" si="8"/>
        <v>0.15</v>
      </c>
      <c r="Q13" s="117">
        <f t="shared" si="9"/>
        <v>0.3</v>
      </c>
      <c r="R13" s="40">
        <f t="shared" si="4"/>
        <v>7.3333333333333072E-3</v>
      </c>
      <c r="U13" s="33">
        <f t="shared" si="6"/>
        <v>6.1</v>
      </c>
      <c r="V13" s="33">
        <f t="shared" si="7"/>
        <v>0</v>
      </c>
    </row>
    <row r="14" spans="1:27">
      <c r="A14" s="34">
        <v>43282</v>
      </c>
      <c r="B14" s="30">
        <v>21.96129032258068</v>
      </c>
      <c r="C14" s="30">
        <f t="shared" si="0"/>
        <v>18.602390322580682</v>
      </c>
      <c r="D14" s="33">
        <v>17.7</v>
      </c>
      <c r="E14" s="33">
        <v>179.86</v>
      </c>
      <c r="H14" s="33">
        <v>164</v>
      </c>
      <c r="I14" s="33">
        <v>29</v>
      </c>
      <c r="J14" s="33">
        <f t="shared" si="1"/>
        <v>193</v>
      </c>
      <c r="K14" s="33">
        <v>0.39344374999999998</v>
      </c>
      <c r="M14" s="33">
        <f t="shared" si="2"/>
        <v>0.26805555555555555</v>
      </c>
      <c r="N14" s="33">
        <f t="shared" si="3"/>
        <v>0.66149930555555558</v>
      </c>
      <c r="O14" s="117">
        <f t="shared" si="8"/>
        <v>0.11805555555555555</v>
      </c>
      <c r="Q14" s="117">
        <f t="shared" si="9"/>
        <v>0.26805555555555555</v>
      </c>
      <c r="R14" s="40"/>
      <c r="U14" s="33">
        <f t="shared" si="6"/>
        <v>3.3000000000000007</v>
      </c>
      <c r="V14" s="33">
        <f t="shared" si="7"/>
        <v>0</v>
      </c>
    </row>
    <row r="15" spans="1:27">
      <c r="A15" s="34">
        <v>43313</v>
      </c>
      <c r="B15" s="30">
        <v>21.751612903225737</v>
      </c>
      <c r="C15" s="30">
        <f t="shared" si="0"/>
        <v>18.392712903225735</v>
      </c>
      <c r="D15" s="33">
        <v>17.899999999999999</v>
      </c>
      <c r="E15" s="33">
        <v>144.80000000000001</v>
      </c>
      <c r="H15" s="33">
        <v>157</v>
      </c>
      <c r="I15" s="33">
        <v>30</v>
      </c>
      <c r="J15" s="33">
        <f t="shared" si="1"/>
        <v>187</v>
      </c>
      <c r="K15" s="33">
        <v>0.50680000000000003</v>
      </c>
      <c r="M15" s="33">
        <f t="shared" si="2"/>
        <v>0.25972222222222224</v>
      </c>
      <c r="N15" s="33">
        <f t="shared" si="3"/>
        <v>0.76652222222222233</v>
      </c>
      <c r="O15" s="117">
        <f t="shared" si="8"/>
        <v>0.10972222222222225</v>
      </c>
      <c r="Q15" s="117">
        <f t="shared" si="9"/>
        <v>0.25972222222222224</v>
      </c>
      <c r="R15" s="40"/>
      <c r="U15" s="33">
        <f t="shared" si="6"/>
        <v>3.1000000000000014</v>
      </c>
    </row>
    <row r="16" spans="1:27">
      <c r="A16" s="34">
        <v>43344</v>
      </c>
      <c r="B16" s="141">
        <v>16.043333333333369</v>
      </c>
      <c r="C16" s="152">
        <f t="shared" si="0"/>
        <v>12.684433333333368</v>
      </c>
      <c r="D16" s="46">
        <v>12.8</v>
      </c>
      <c r="E16" s="46">
        <v>97.92</v>
      </c>
      <c r="F16" s="46"/>
      <c r="G16" s="46"/>
      <c r="H16" s="46">
        <v>176</v>
      </c>
      <c r="I16" s="46">
        <v>33</v>
      </c>
      <c r="J16" s="46">
        <f t="shared" si="1"/>
        <v>209</v>
      </c>
      <c r="K16" s="46"/>
      <c r="L16" s="46"/>
      <c r="M16" s="46">
        <f t="shared" si="2"/>
        <v>0.2902777777777778</v>
      </c>
      <c r="N16" s="46"/>
      <c r="O16" s="117">
        <f t="shared" si="8"/>
        <v>0.14027777777777781</v>
      </c>
      <c r="P16" s="46"/>
      <c r="Q16" s="117">
        <f t="shared" si="9"/>
        <v>0.2902777777777778</v>
      </c>
      <c r="R16" s="46">
        <f t="shared" si="4"/>
        <v>0.1613333333333333</v>
      </c>
      <c r="S16" s="46"/>
      <c r="T16" s="46"/>
      <c r="U16" s="46">
        <f t="shared" si="6"/>
        <v>8.1999999999999993</v>
      </c>
      <c r="V16" s="46"/>
      <c r="W16" s="46"/>
    </row>
    <row r="17" spans="1:27">
      <c r="A17" s="34">
        <v>43374</v>
      </c>
      <c r="B17" s="141">
        <v>11.01935483870969</v>
      </c>
      <c r="C17" s="152">
        <f t="shared" si="0"/>
        <v>7.6604548387096898</v>
      </c>
      <c r="D17" s="46">
        <v>8</v>
      </c>
      <c r="E17" s="46">
        <v>66.36</v>
      </c>
      <c r="F17" s="46">
        <v>2</v>
      </c>
      <c r="G17" s="46"/>
      <c r="H17" s="46">
        <v>245</v>
      </c>
      <c r="I17" s="46">
        <v>38</v>
      </c>
      <c r="J17" s="46">
        <f t="shared" si="1"/>
        <v>283</v>
      </c>
      <c r="K17" s="46"/>
      <c r="L17" s="46"/>
      <c r="M17" s="46">
        <f t="shared" si="2"/>
        <v>0.39305555555555555</v>
      </c>
      <c r="N17" s="46"/>
      <c r="O17" s="117">
        <f t="shared" si="8"/>
        <v>0.24305555555555555</v>
      </c>
      <c r="P17" s="46"/>
      <c r="Q17" s="117">
        <f t="shared" si="9"/>
        <v>0.39305555555555555</v>
      </c>
      <c r="R17" s="46">
        <f t="shared" si="4"/>
        <v>0.51333333333333342</v>
      </c>
      <c r="S17" s="46"/>
      <c r="T17" s="46"/>
      <c r="U17" s="46">
        <f t="shared" si="6"/>
        <v>13</v>
      </c>
      <c r="V17" s="46"/>
      <c r="W17" s="46"/>
    </row>
    <row r="18" spans="1:27">
      <c r="A18" s="34">
        <v>43405</v>
      </c>
      <c r="B18" s="141">
        <v>4.2866666666666786</v>
      </c>
      <c r="C18" s="152">
        <f t="shared" si="0"/>
        <v>0.9277666666666784</v>
      </c>
      <c r="D18" s="46">
        <v>2</v>
      </c>
      <c r="E18" s="46">
        <v>19.98</v>
      </c>
      <c r="F18" s="46">
        <v>9</v>
      </c>
      <c r="G18" s="46">
        <v>286.5</v>
      </c>
      <c r="H18" s="46">
        <v>564</v>
      </c>
      <c r="I18" s="46">
        <v>43</v>
      </c>
      <c r="J18" s="46">
        <f t="shared" si="1"/>
        <v>607</v>
      </c>
      <c r="K18" s="46"/>
      <c r="L18" s="70">
        <f t="shared" ref="L18:L22" si="11">G18/30/24</f>
        <v>0.3979166666666667</v>
      </c>
      <c r="M18" s="46">
        <f t="shared" si="2"/>
        <v>0.84305555555555556</v>
      </c>
      <c r="N18" s="46"/>
      <c r="O18" s="117">
        <f t="shared" si="8"/>
        <v>0.29513888888888884</v>
      </c>
      <c r="P18" s="70">
        <f t="shared" ref="P18:P22" si="12">L18</f>
        <v>0.3979166666666667</v>
      </c>
      <c r="Q18" s="117">
        <f t="shared" si="9"/>
        <v>0.84305555555555556</v>
      </c>
      <c r="R18" s="46">
        <f t="shared" si="4"/>
        <v>0.95333333333333337</v>
      </c>
      <c r="S18" s="141"/>
      <c r="T18" s="46"/>
      <c r="U18" s="46">
        <f t="shared" si="6"/>
        <v>19</v>
      </c>
      <c r="V18" s="46"/>
      <c r="W18" s="46"/>
      <c r="Y18" s="70"/>
      <c r="Z18" s="70"/>
      <c r="AA18" s="70"/>
    </row>
    <row r="19" spans="1:27">
      <c r="A19" s="34">
        <v>43435</v>
      </c>
      <c r="B19" s="141">
        <v>3.2290322580642932</v>
      </c>
      <c r="C19" s="152">
        <f t="shared" si="0"/>
        <v>-0.12986774193570705</v>
      </c>
      <c r="D19" s="46">
        <v>0</v>
      </c>
      <c r="E19" s="46">
        <v>14.16</v>
      </c>
      <c r="F19" s="46">
        <v>22</v>
      </c>
      <c r="G19" s="46">
        <v>301.5</v>
      </c>
      <c r="H19" s="46">
        <v>754</v>
      </c>
      <c r="I19" s="46">
        <v>62</v>
      </c>
      <c r="J19" s="46">
        <f t="shared" si="1"/>
        <v>816</v>
      </c>
      <c r="K19" s="46"/>
      <c r="L19" s="70">
        <f t="shared" si="11"/>
        <v>0.41875000000000001</v>
      </c>
      <c r="M19" s="46">
        <f t="shared" si="2"/>
        <v>1.1333333333333333</v>
      </c>
      <c r="N19" s="46"/>
      <c r="O19" s="117">
        <f t="shared" si="8"/>
        <v>0.56458333333333333</v>
      </c>
      <c r="P19" s="70">
        <f t="shared" si="12"/>
        <v>0.41875000000000001</v>
      </c>
      <c r="Q19" s="117">
        <f t="shared" si="9"/>
        <v>1.1333333333333333</v>
      </c>
      <c r="R19" s="46">
        <f t="shared" si="4"/>
        <v>1.1000000000000001</v>
      </c>
      <c r="S19" s="141"/>
      <c r="T19" s="46"/>
      <c r="U19" s="46">
        <f t="shared" si="6"/>
        <v>21</v>
      </c>
      <c r="V19" s="46"/>
      <c r="W19" s="46"/>
      <c r="Y19" s="70"/>
      <c r="Z19" s="70"/>
      <c r="AA19" s="70"/>
    </row>
    <row r="20" spans="1:27">
      <c r="A20" s="34">
        <v>43466</v>
      </c>
      <c r="B20" s="141">
        <v>-1.2903225806557232E-2</v>
      </c>
      <c r="C20" s="152">
        <f t="shared" si="0"/>
        <v>-3.3718032258065573</v>
      </c>
      <c r="D20" s="46">
        <v>-3.3</v>
      </c>
      <c r="E20" s="46">
        <v>20.2</v>
      </c>
      <c r="F20" s="46">
        <v>31</v>
      </c>
      <c r="G20" s="46">
        <v>541</v>
      </c>
      <c r="H20" s="46">
        <v>917</v>
      </c>
      <c r="I20" s="46">
        <v>54</v>
      </c>
      <c r="J20" s="46">
        <f t="shared" si="1"/>
        <v>971</v>
      </c>
      <c r="K20" s="46"/>
      <c r="L20" s="70">
        <f t="shared" si="11"/>
        <v>0.75138888888888899</v>
      </c>
      <c r="M20" s="46">
        <f t="shared" si="2"/>
        <v>1.3486111111111112</v>
      </c>
      <c r="N20" s="46"/>
      <c r="O20" s="117">
        <f t="shared" si="8"/>
        <v>0.44722222222222219</v>
      </c>
      <c r="P20" s="70">
        <f t="shared" si="12"/>
        <v>0.75138888888888899</v>
      </c>
      <c r="Q20" s="117">
        <f t="shared" si="9"/>
        <v>1.3486111111111112</v>
      </c>
      <c r="R20" s="46">
        <f t="shared" si="4"/>
        <v>1.3420000000000001</v>
      </c>
      <c r="S20" s="141"/>
      <c r="T20" s="46"/>
      <c r="U20" s="46">
        <f t="shared" si="6"/>
        <v>24.3</v>
      </c>
      <c r="V20" s="46"/>
      <c r="W20" s="46"/>
      <c r="Y20" s="70"/>
      <c r="Z20" s="70"/>
      <c r="AA20" s="70"/>
    </row>
    <row r="21" spans="1:27">
      <c r="A21" s="34">
        <v>43497</v>
      </c>
      <c r="B21" s="141">
        <v>3.067857142857195</v>
      </c>
      <c r="C21" s="152">
        <f t="shared" si="0"/>
        <v>-0.2910428571428052</v>
      </c>
      <c r="D21" s="46">
        <v>1.2</v>
      </c>
      <c r="E21" s="46">
        <v>50.21</v>
      </c>
      <c r="F21" s="46">
        <v>28</v>
      </c>
      <c r="G21" s="46">
        <v>263</v>
      </c>
      <c r="H21" s="46">
        <v>576</v>
      </c>
      <c r="I21" s="46">
        <v>43</v>
      </c>
      <c r="J21" s="46">
        <f t="shared" si="1"/>
        <v>619</v>
      </c>
      <c r="K21" s="46"/>
      <c r="L21" s="70">
        <f t="shared" si="11"/>
        <v>0.36527777777777781</v>
      </c>
      <c r="M21" s="46">
        <f t="shared" si="2"/>
        <v>0.85972222222222217</v>
      </c>
      <c r="N21" s="46"/>
      <c r="O21" s="117">
        <f t="shared" si="8"/>
        <v>0.34444444444444433</v>
      </c>
      <c r="P21" s="70">
        <f t="shared" si="12"/>
        <v>0.36527777777777781</v>
      </c>
      <c r="Q21" s="117">
        <f t="shared" si="9"/>
        <v>0.85972222222222217</v>
      </c>
      <c r="R21" s="46">
        <f t="shared" si="4"/>
        <v>1.012</v>
      </c>
      <c r="S21" s="141"/>
      <c r="T21" s="46"/>
      <c r="U21" s="46">
        <f t="shared" si="6"/>
        <v>19.8</v>
      </c>
      <c r="V21" s="46"/>
      <c r="W21" s="46"/>
      <c r="Y21" s="70"/>
      <c r="Z21" s="70"/>
      <c r="AA21" s="70"/>
    </row>
    <row r="22" spans="1:27">
      <c r="A22" s="34">
        <v>43525</v>
      </c>
      <c r="B22" s="141">
        <v>7.361290322580551</v>
      </c>
      <c r="C22" s="152">
        <f t="shared" si="0"/>
        <v>4.0023903225805508</v>
      </c>
      <c r="D22" s="46">
        <v>3.5</v>
      </c>
      <c r="E22" s="46">
        <v>78.489999999999995</v>
      </c>
      <c r="F22" s="46"/>
      <c r="G22" s="46">
        <v>221.5</v>
      </c>
      <c r="H22" s="46">
        <v>555</v>
      </c>
      <c r="I22" s="46">
        <v>46</v>
      </c>
      <c r="J22" s="46">
        <f t="shared" si="1"/>
        <v>601</v>
      </c>
      <c r="K22" s="46"/>
      <c r="L22" s="70">
        <f t="shared" si="11"/>
        <v>0.30763888888888891</v>
      </c>
      <c r="M22" s="46">
        <f t="shared" si="2"/>
        <v>0.83472222222222225</v>
      </c>
      <c r="N22" s="46"/>
      <c r="O22" s="117">
        <f t="shared" si="8"/>
        <v>0.37708333333333333</v>
      </c>
      <c r="P22" s="70">
        <f t="shared" si="12"/>
        <v>0.30763888888888891</v>
      </c>
      <c r="Q22" s="117">
        <f t="shared" si="9"/>
        <v>0.83472222222222225</v>
      </c>
      <c r="R22" s="46">
        <f t="shared" si="4"/>
        <v>0.84333333333333338</v>
      </c>
      <c r="S22" s="141"/>
      <c r="T22" s="46"/>
      <c r="U22" s="46">
        <f t="shared" si="6"/>
        <v>17.5</v>
      </c>
      <c r="V22" s="46"/>
      <c r="W22" s="46"/>
      <c r="Y22" s="70"/>
      <c r="Z22" s="70"/>
      <c r="AA22" s="70"/>
    </row>
    <row r="23" spans="1:27">
      <c r="A23" s="34">
        <v>43556</v>
      </c>
      <c r="B23" s="141">
        <v>10.860000000000097</v>
      </c>
      <c r="C23" s="152">
        <f t="shared" si="0"/>
        <v>7.5011000000000969</v>
      </c>
      <c r="D23" s="46">
        <v>7.1</v>
      </c>
      <c r="E23" s="46">
        <v>130.09</v>
      </c>
      <c r="F23" s="46"/>
      <c r="G23" s="46">
        <v>15.4</v>
      </c>
      <c r="H23" s="46">
        <v>310</v>
      </c>
      <c r="I23" s="46">
        <v>48</v>
      </c>
      <c r="J23" s="46">
        <f t="shared" si="1"/>
        <v>358</v>
      </c>
      <c r="K23" s="46"/>
      <c r="L23" s="70"/>
      <c r="M23" s="46">
        <f t="shared" si="2"/>
        <v>0.49722222222222223</v>
      </c>
      <c r="N23" s="46"/>
      <c r="O23" s="117">
        <f t="shared" si="8"/>
        <v>0.34722222222222221</v>
      </c>
      <c r="P23" s="70"/>
      <c r="Q23" s="117">
        <f t="shared" si="9"/>
        <v>0.49722222222222223</v>
      </c>
      <c r="R23" s="46">
        <f t="shared" si="4"/>
        <v>0.57933333333333337</v>
      </c>
      <c r="S23" s="46"/>
      <c r="T23" s="46"/>
      <c r="U23" s="46">
        <f t="shared" si="6"/>
        <v>13.9</v>
      </c>
      <c r="V23" s="46"/>
      <c r="W23" s="46"/>
    </row>
    <row r="24" spans="1:27">
      <c r="A24" s="34">
        <v>43586</v>
      </c>
      <c r="B24" s="141">
        <v>12.29354838709661</v>
      </c>
      <c r="C24" s="152">
        <f t="shared" si="0"/>
        <v>8.93464838709661</v>
      </c>
      <c r="D24" s="46">
        <v>8</v>
      </c>
      <c r="E24" s="46">
        <v>124.55</v>
      </c>
      <c r="F24" s="46"/>
      <c r="G24" s="46"/>
      <c r="H24" s="46">
        <v>293</v>
      </c>
      <c r="I24" s="46">
        <v>48</v>
      </c>
      <c r="J24" s="46">
        <f t="shared" si="1"/>
        <v>341</v>
      </c>
      <c r="K24" s="46"/>
      <c r="L24" s="46"/>
      <c r="M24" s="46">
        <f t="shared" si="2"/>
        <v>0.47361111111111115</v>
      </c>
      <c r="N24" s="46"/>
      <c r="O24" s="117">
        <f t="shared" si="8"/>
        <v>0.32361111111111118</v>
      </c>
      <c r="P24" s="46"/>
      <c r="Q24" s="117">
        <f t="shared" si="9"/>
        <v>0.47361111111111115</v>
      </c>
      <c r="R24" s="46">
        <f t="shared" si="4"/>
        <v>0.51333333333333342</v>
      </c>
      <c r="S24" s="46"/>
      <c r="T24" s="46"/>
      <c r="U24" s="46">
        <f t="shared" si="6"/>
        <v>13</v>
      </c>
      <c r="V24" s="46"/>
      <c r="W24" s="46"/>
    </row>
    <row r="25" spans="1:27">
      <c r="A25" s="34">
        <v>43617</v>
      </c>
      <c r="B25" s="141">
        <v>22.053333333333526</v>
      </c>
      <c r="C25" s="152">
        <f t="shared" si="0"/>
        <v>18.694433333333528</v>
      </c>
      <c r="D25" s="46">
        <v>18.399999999999999</v>
      </c>
      <c r="E25" s="46">
        <v>192.5</v>
      </c>
      <c r="F25" s="46"/>
      <c r="G25" s="46"/>
      <c r="H25" s="46">
        <v>165</v>
      </c>
      <c r="I25" s="46">
        <v>34</v>
      </c>
      <c r="J25" s="46">
        <f t="shared" si="1"/>
        <v>199</v>
      </c>
      <c r="K25" s="46"/>
      <c r="L25" s="46"/>
      <c r="M25" s="46">
        <f t="shared" si="2"/>
        <v>0.27638888888888891</v>
      </c>
      <c r="N25" s="46"/>
      <c r="O25" s="117">
        <f t="shared" si="8"/>
        <v>0.12638888888888891</v>
      </c>
      <c r="P25" s="46"/>
      <c r="Q25" s="117">
        <f t="shared" si="9"/>
        <v>0.27638888888888891</v>
      </c>
      <c r="R25" s="46"/>
      <c r="S25" s="46"/>
      <c r="T25" s="46"/>
      <c r="U25" s="46">
        <f t="shared" si="6"/>
        <v>2.6000000000000014</v>
      </c>
      <c r="V25" s="46"/>
      <c r="W25" s="46"/>
    </row>
    <row r="26" spans="1:27">
      <c r="A26" s="34">
        <v>43647</v>
      </c>
      <c r="B26" s="141">
        <v>20.22903225806435</v>
      </c>
      <c r="C26" s="152">
        <f t="shared" si="0"/>
        <v>16.870132258064352</v>
      </c>
      <c r="D26" s="46">
        <v>16.7</v>
      </c>
      <c r="E26" s="46">
        <v>171.3</v>
      </c>
      <c r="F26" s="46"/>
      <c r="G26" s="46"/>
      <c r="H26" s="46">
        <v>177</v>
      </c>
      <c r="I26" s="46">
        <v>37</v>
      </c>
      <c r="J26" s="46">
        <f t="shared" si="1"/>
        <v>214</v>
      </c>
      <c r="K26" s="46"/>
      <c r="L26" s="46"/>
      <c r="M26" s="46">
        <f t="shared" si="2"/>
        <v>0.29722222222222222</v>
      </c>
      <c r="N26" s="46"/>
      <c r="O26" s="117">
        <f t="shared" si="8"/>
        <v>0.14722222222222223</v>
      </c>
      <c r="P26" s="46"/>
      <c r="Q26" s="117">
        <f t="shared" si="9"/>
        <v>0.29722222222222222</v>
      </c>
      <c r="R26" s="46"/>
      <c r="S26" s="46"/>
      <c r="T26" s="46"/>
      <c r="U26" s="46">
        <f t="shared" si="6"/>
        <v>4.3000000000000007</v>
      </c>
      <c r="V26" s="46"/>
      <c r="W26" s="46"/>
    </row>
    <row r="27" spans="1:27">
      <c r="A27" s="34">
        <v>43678</v>
      </c>
      <c r="B27" s="141">
        <v>20.332258064516104</v>
      </c>
      <c r="C27" s="152">
        <f t="shared" si="0"/>
        <v>16.973358064516106</v>
      </c>
      <c r="D27" s="46"/>
      <c r="E27" s="46"/>
      <c r="F27" s="46"/>
      <c r="G27" s="46"/>
      <c r="H27" s="46"/>
      <c r="I27" s="46"/>
      <c r="J27" s="159"/>
      <c r="K27" s="46"/>
      <c r="L27" s="46"/>
      <c r="M27" s="141">
        <f t="shared" si="2"/>
        <v>0</v>
      </c>
      <c r="N27" s="46"/>
      <c r="O27" s="46"/>
      <c r="P27" s="46"/>
      <c r="Q27" s="141"/>
      <c r="R27" s="141"/>
      <c r="S27" s="46"/>
      <c r="T27" s="46"/>
      <c r="U27" s="46"/>
      <c r="V27" s="46"/>
      <c r="W27" s="46"/>
    </row>
    <row r="28" spans="1:27" s="141" customFormat="1">
      <c r="A28" s="34">
        <v>43709</v>
      </c>
      <c r="B28" s="141">
        <v>14.676666666666522</v>
      </c>
      <c r="C28" s="152">
        <f t="shared" si="0"/>
        <v>11.317766666666522</v>
      </c>
      <c r="J28" s="159"/>
      <c r="M28" s="141">
        <f t="shared" si="2"/>
        <v>0</v>
      </c>
    </row>
    <row r="29" spans="1:27" s="141" customFormat="1">
      <c r="A29" s="34">
        <v>43739</v>
      </c>
      <c r="B29" s="141">
        <v>10.209677419354721</v>
      </c>
      <c r="C29" s="152">
        <f t="shared" si="0"/>
        <v>6.8507774193547206</v>
      </c>
      <c r="J29" s="159"/>
      <c r="M29" s="141">
        <f t="shared" si="2"/>
        <v>0</v>
      </c>
    </row>
    <row r="30" spans="1:27" s="141" customFormat="1">
      <c r="A30" s="34">
        <v>43770</v>
      </c>
      <c r="B30" s="141">
        <v>6.1799999999999269</v>
      </c>
      <c r="C30" s="152">
        <f t="shared" si="0"/>
        <v>2.8210999999999267</v>
      </c>
      <c r="D30" s="159">
        <v>2.6</v>
      </c>
      <c r="F30" s="159">
        <v>2</v>
      </c>
      <c r="G30" s="159">
        <v>332</v>
      </c>
      <c r="J30" s="159">
        <v>644</v>
      </c>
      <c r="L30" s="141">
        <f t="shared" ref="L30:L33" si="13">G30/30/24</f>
        <v>0.46111111111111108</v>
      </c>
      <c r="M30" s="141">
        <f t="shared" si="2"/>
        <v>0.89444444444444438</v>
      </c>
      <c r="O30" s="141">
        <f t="shared" ref="O30:O33" si="14">M30-L30-Q$2</f>
        <v>0.28333333333333333</v>
      </c>
      <c r="P30" s="141">
        <f t="shared" ref="P30:P33" si="15">L30</f>
        <v>0.46111111111111108</v>
      </c>
      <c r="Q30" s="141">
        <f t="shared" si="9"/>
        <v>0.89444444444444438</v>
      </c>
      <c r="R30" s="141">
        <f>IF(R$2-D30&gt;0,R$2-D30,0)*R$1/30</f>
        <v>0.90933333333333344</v>
      </c>
    </row>
    <row r="31" spans="1:27" s="141" customFormat="1">
      <c r="A31" s="34">
        <v>43800</v>
      </c>
      <c r="B31" s="141">
        <v>3.0612903225802226</v>
      </c>
      <c r="C31" s="152">
        <f t="shared" si="0"/>
        <v>-0.29760967741977762</v>
      </c>
      <c r="D31" s="159">
        <v>0.5</v>
      </c>
      <c r="F31" s="159">
        <v>17</v>
      </c>
      <c r="G31" s="159">
        <v>343.3</v>
      </c>
      <c r="J31" s="159">
        <v>785</v>
      </c>
      <c r="L31" s="141">
        <f t="shared" si="13"/>
        <v>0.47680555555555554</v>
      </c>
      <c r="M31" s="141">
        <f t="shared" si="2"/>
        <v>1.0902777777777779</v>
      </c>
      <c r="O31" s="141">
        <f t="shared" si="14"/>
        <v>0.4634722222222224</v>
      </c>
      <c r="P31" s="141">
        <f t="shared" si="15"/>
        <v>0.47680555555555554</v>
      </c>
      <c r="Q31" s="141">
        <f t="shared" si="9"/>
        <v>1.0902777777777779</v>
      </c>
      <c r="R31" s="141">
        <f>IF(R$2-D31&gt;0,R$2-D31,0)*R$1/30</f>
        <v>1.0633333333333335</v>
      </c>
    </row>
    <row r="32" spans="1:27" s="141" customFormat="1">
      <c r="A32" s="34">
        <v>43831</v>
      </c>
      <c r="B32" s="141">
        <v>1.8483870967739353</v>
      </c>
      <c r="C32" s="152">
        <f t="shared" si="0"/>
        <v>-1.5105129032260649</v>
      </c>
      <c r="D32" s="159">
        <v>-0.3</v>
      </c>
      <c r="F32" s="159">
        <v>10</v>
      </c>
      <c r="G32" s="159">
        <v>450</v>
      </c>
      <c r="J32" s="159">
        <v>821</v>
      </c>
      <c r="L32" s="141">
        <f t="shared" si="13"/>
        <v>0.625</v>
      </c>
      <c r="M32" s="141">
        <f t="shared" si="2"/>
        <v>1.1402777777777777</v>
      </c>
      <c r="O32" s="141">
        <f t="shared" si="14"/>
        <v>0.3652777777777777</v>
      </c>
      <c r="P32" s="141">
        <f t="shared" si="15"/>
        <v>0.625</v>
      </c>
      <c r="Q32" s="141">
        <f t="shared" si="9"/>
        <v>1.1402777777777777</v>
      </c>
      <c r="R32" s="141">
        <f>IF(R$2-D32&gt;0,R$2-D32,0)*R$1/30</f>
        <v>1.1220000000000001</v>
      </c>
    </row>
    <row r="33" spans="1:23" s="141" customFormat="1">
      <c r="A33" s="34">
        <v>43862</v>
      </c>
      <c r="B33" s="141">
        <v>5.1965517241380814</v>
      </c>
      <c r="C33" s="152">
        <f t="shared" si="0"/>
        <v>1.8376517241380812</v>
      </c>
      <c r="D33" s="159">
        <v>1.6</v>
      </c>
      <c r="F33" s="159">
        <v>23</v>
      </c>
      <c r="G33" s="159">
        <v>388</v>
      </c>
      <c r="J33" s="159">
        <v>729</v>
      </c>
      <c r="L33" s="141">
        <f t="shared" si="13"/>
        <v>0.53888888888888886</v>
      </c>
      <c r="M33" s="141">
        <f t="shared" si="2"/>
        <v>1.0125</v>
      </c>
      <c r="O33" s="141">
        <f t="shared" si="14"/>
        <v>0.32361111111111107</v>
      </c>
      <c r="P33" s="141">
        <f t="shared" si="15"/>
        <v>0.53888888888888886</v>
      </c>
      <c r="Q33" s="141">
        <f t="shared" si="9"/>
        <v>1.0125</v>
      </c>
      <c r="R33" s="141">
        <f>IF(R$2-D33&gt;0,R$2-D33,0)*R$1/30</f>
        <v>0.9826666666666668</v>
      </c>
    </row>
    <row r="34" spans="1:23" s="141" customFormat="1">
      <c r="A34" s="34">
        <v>43891</v>
      </c>
      <c r="B34" s="141">
        <v>4.9870967741935015</v>
      </c>
      <c r="C34" s="152">
        <f t="shared" si="0"/>
        <v>1.6281967741935013</v>
      </c>
      <c r="D34" s="159">
        <v>1.1000000000000001</v>
      </c>
      <c r="F34" s="159"/>
      <c r="G34" s="159"/>
      <c r="J34" s="159"/>
      <c r="M34" s="141">
        <f t="shared" si="2"/>
        <v>0</v>
      </c>
    </row>
    <row r="35" spans="1:23" s="141" customFormat="1">
      <c r="A35" s="34">
        <v>43922</v>
      </c>
      <c r="B35" s="141">
        <v>10.960000000000218</v>
      </c>
      <c r="C35" s="152">
        <f t="shared" si="0"/>
        <v>7.6011000000002173</v>
      </c>
      <c r="D35" s="159"/>
      <c r="F35" s="159"/>
      <c r="G35" s="159"/>
      <c r="J35" s="159"/>
      <c r="M35" s="141">
        <f t="shared" si="2"/>
        <v>0</v>
      </c>
    </row>
    <row r="36" spans="1:23" s="141" customFormat="1">
      <c r="A36" s="34">
        <v>43952</v>
      </c>
      <c r="B36" s="141">
        <v>12.390322580645231</v>
      </c>
      <c r="C36" s="152">
        <f t="shared" si="0"/>
        <v>9.0314225806452306</v>
      </c>
      <c r="D36" s="159"/>
      <c r="F36" s="159"/>
      <c r="G36" s="159"/>
      <c r="J36" s="159"/>
      <c r="M36" s="141">
        <f t="shared" si="2"/>
        <v>0</v>
      </c>
    </row>
    <row r="37" spans="1:23" s="141" customFormat="1">
      <c r="A37" s="34">
        <v>43983</v>
      </c>
      <c r="B37" s="141">
        <v>17.819999999999951</v>
      </c>
      <c r="C37" s="152">
        <f t="shared" si="0"/>
        <v>14.46109999999995</v>
      </c>
      <c r="D37" s="159"/>
      <c r="F37" s="159"/>
      <c r="G37" s="159"/>
      <c r="J37" s="159"/>
      <c r="M37" s="141">
        <f t="shared" si="2"/>
        <v>0</v>
      </c>
    </row>
    <row r="38" spans="1:23" s="141" customFormat="1">
      <c r="A38" s="34">
        <v>44013</v>
      </c>
      <c r="B38" s="141">
        <v>19.425806451613045</v>
      </c>
      <c r="C38" s="152">
        <f t="shared" si="0"/>
        <v>16.066906451613043</v>
      </c>
      <c r="D38" s="159"/>
      <c r="F38" s="159"/>
      <c r="G38" s="159"/>
      <c r="J38" s="159"/>
      <c r="M38" s="141">
        <f t="shared" si="2"/>
        <v>0</v>
      </c>
    </row>
    <row r="39" spans="1:23" s="141" customFormat="1">
      <c r="A39" s="34">
        <v>44044</v>
      </c>
      <c r="B39" s="141">
        <v>20.164516129032329</v>
      </c>
      <c r="C39" s="152">
        <f t="shared" si="0"/>
        <v>16.80561612903233</v>
      </c>
      <c r="D39" s="159"/>
      <c r="F39" s="159"/>
      <c r="G39" s="159"/>
      <c r="J39" s="159"/>
      <c r="M39" s="141">
        <f t="shared" si="2"/>
        <v>0</v>
      </c>
    </row>
    <row r="40" spans="1:23" s="141" customFormat="1">
      <c r="A40" s="34">
        <v>44075</v>
      </c>
      <c r="B40" s="141">
        <v>15.693333333333067</v>
      </c>
      <c r="C40" s="152">
        <f t="shared" si="0"/>
        <v>12.334433333333067</v>
      </c>
      <c r="D40" s="159"/>
      <c r="F40" s="159"/>
      <c r="G40" s="159"/>
      <c r="J40" s="159"/>
      <c r="M40" s="141">
        <f t="shared" si="2"/>
        <v>0</v>
      </c>
    </row>
    <row r="41" spans="1:23" s="141" customFormat="1">
      <c r="A41" s="34">
        <v>44105</v>
      </c>
      <c r="B41" s="141">
        <v>10.200000000000024</v>
      </c>
      <c r="C41" s="152">
        <f t="shared" si="0"/>
        <v>6.8411000000000239</v>
      </c>
      <c r="D41" s="159"/>
      <c r="F41" s="159"/>
      <c r="G41" s="159"/>
      <c r="J41" s="159"/>
      <c r="M41" s="141">
        <f t="shared" si="2"/>
        <v>0</v>
      </c>
    </row>
    <row r="42" spans="1:23" s="141" customFormat="1">
      <c r="A42" s="34">
        <v>44136</v>
      </c>
      <c r="B42" s="141">
        <v>4.4833333333335759</v>
      </c>
      <c r="C42" s="152">
        <f t="shared" si="0"/>
        <v>1.1244333333335756</v>
      </c>
      <c r="D42" s="159">
        <v>2.6</v>
      </c>
      <c r="F42" s="159">
        <v>2</v>
      </c>
      <c r="G42" s="159">
        <v>82</v>
      </c>
      <c r="J42" s="159">
        <v>540</v>
      </c>
      <c r="L42" s="141">
        <f t="shared" ref="L42:L45" si="16">G42/30/24</f>
        <v>0.11388888888888889</v>
      </c>
      <c r="M42" s="141">
        <f t="shared" si="2"/>
        <v>0.75</v>
      </c>
      <c r="O42" s="141">
        <f t="shared" ref="O42:O45" si="17">M42-L42-Q$2</f>
        <v>0.48611111111111105</v>
      </c>
      <c r="P42" s="141">
        <f t="shared" ref="P42:P45" si="18">L42</f>
        <v>0.11388888888888889</v>
      </c>
      <c r="Q42" s="141">
        <f t="shared" si="9"/>
        <v>0.75</v>
      </c>
      <c r="R42" s="141">
        <f>IF(R$2-D42&gt;0,R$2-D42,0)*R$1/30</f>
        <v>0.90933333333333344</v>
      </c>
    </row>
    <row r="43" spans="1:23" s="141" customFormat="1">
      <c r="A43" s="34">
        <v>44166</v>
      </c>
      <c r="B43" s="141">
        <v>2.9193548387097947</v>
      </c>
      <c r="C43" s="152">
        <f t="shared" si="0"/>
        <v>-0.43954516129020549</v>
      </c>
      <c r="D43" s="159">
        <v>-0.7</v>
      </c>
      <c r="F43" s="159">
        <v>12</v>
      </c>
      <c r="G43" s="159">
        <v>286</v>
      </c>
      <c r="J43" s="159">
        <v>892</v>
      </c>
      <c r="L43" s="141">
        <f t="shared" si="16"/>
        <v>0.3972222222222222</v>
      </c>
      <c r="M43" s="141">
        <f t="shared" si="2"/>
        <v>1.2388888888888889</v>
      </c>
      <c r="O43" s="141">
        <f t="shared" si="17"/>
        <v>0.69166666666666676</v>
      </c>
      <c r="P43" s="141">
        <f t="shared" si="18"/>
        <v>0.3972222222222222</v>
      </c>
      <c r="Q43" s="141">
        <f t="shared" si="9"/>
        <v>1.2388888888888889</v>
      </c>
      <c r="R43" s="141">
        <f>IF(R$2-D43&gt;0,R$2-D43,0)*R$1/30</f>
        <v>1.1513333333333333</v>
      </c>
    </row>
    <row r="44" spans="1:23" s="141" customFormat="1">
      <c r="A44" s="34">
        <v>44197</v>
      </c>
      <c r="B44" s="141">
        <v>5.4838709677325473E-2</v>
      </c>
      <c r="C44" s="152">
        <f t="shared" si="0"/>
        <v>-3.3040612903226747</v>
      </c>
      <c r="D44" s="159">
        <v>-2.8</v>
      </c>
      <c r="F44" s="159">
        <v>31</v>
      </c>
      <c r="G44" s="159">
        <v>473</v>
      </c>
      <c r="J44" s="159">
        <v>1002</v>
      </c>
      <c r="L44" s="141">
        <f t="shared" si="16"/>
        <v>0.65694444444444444</v>
      </c>
      <c r="M44" s="141">
        <f t="shared" si="2"/>
        <v>1.3916666666666666</v>
      </c>
      <c r="O44" s="141">
        <f t="shared" si="17"/>
        <v>0.58472222222222214</v>
      </c>
      <c r="P44" s="141">
        <f t="shared" si="18"/>
        <v>0.65694444444444444</v>
      </c>
      <c r="Q44" s="141">
        <f t="shared" si="9"/>
        <v>1.3916666666666666</v>
      </c>
      <c r="R44" s="141">
        <f>IF(R$2-D44&gt;0,R$2-D44,0)*R$1/30</f>
        <v>1.3053333333333335</v>
      </c>
    </row>
    <row r="45" spans="1:23" s="141" customFormat="1">
      <c r="A45" s="34">
        <v>44228</v>
      </c>
      <c r="B45" s="141">
        <v>-0.5035714285715065</v>
      </c>
      <c r="C45" s="152">
        <f t="shared" si="0"/>
        <v>-3.8624714285715065</v>
      </c>
      <c r="D45" s="159">
        <v>-2</v>
      </c>
      <c r="F45" s="159">
        <v>28</v>
      </c>
      <c r="G45" s="159">
        <v>374</v>
      </c>
      <c r="J45" s="159">
        <v>789</v>
      </c>
      <c r="L45" s="141">
        <f t="shared" si="16"/>
        <v>0.51944444444444449</v>
      </c>
      <c r="M45" s="141">
        <f t="shared" si="2"/>
        <v>1.0958333333333334</v>
      </c>
      <c r="O45" s="141">
        <f t="shared" si="17"/>
        <v>0.42638888888888893</v>
      </c>
      <c r="P45" s="141">
        <f t="shared" si="18"/>
        <v>0.51944444444444449</v>
      </c>
      <c r="Q45" s="141">
        <f t="shared" si="9"/>
        <v>1.0958333333333334</v>
      </c>
      <c r="R45" s="141">
        <f>IF(R$2-D45&gt;0,R$2-D45,0)*R$1/30</f>
        <v>1.2466666666666668</v>
      </c>
    </row>
    <row r="46" spans="1:23" s="141" customFormat="1">
      <c r="A46" s="34">
        <v>44256</v>
      </c>
      <c r="B46" s="141">
        <v>1.6750000000010914</v>
      </c>
      <c r="C46" s="152">
        <f t="shared" si="0"/>
        <v>-1.6838999999989088</v>
      </c>
      <c r="D46" s="159">
        <v>-0.7</v>
      </c>
      <c r="F46" s="159"/>
    </row>
    <row r="47" spans="1:23">
      <c r="A47" s="34">
        <v>44287</v>
      </c>
      <c r="B47" s="141">
        <v>0.51254179846362369</v>
      </c>
      <c r="C47" s="152">
        <f t="shared" si="0"/>
        <v>-2.8463582015363764</v>
      </c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</row>
    <row r="48" spans="1:23">
      <c r="A48" s="34"/>
      <c r="B48" s="30"/>
      <c r="C48" s="30"/>
    </row>
    <row r="49" spans="1:23">
      <c r="A49" s="37" t="s">
        <v>131</v>
      </c>
      <c r="C49" s="30"/>
      <c r="J49" s="33">
        <f>SUM(J4:J48)</f>
        <v>16980</v>
      </c>
      <c r="K49" s="70" t="s">
        <v>294</v>
      </c>
      <c r="T49" s="33">
        <f>SUM(T4:T48)</f>
        <v>4964</v>
      </c>
      <c r="V49" s="33">
        <f>SUM(V4:V48)</f>
        <v>1477</v>
      </c>
    </row>
    <row r="50" spans="1:23">
      <c r="J50" s="33">
        <v>2.1</v>
      </c>
      <c r="K50" s="33">
        <v>90</v>
      </c>
      <c r="L50" s="33">
        <f>J50*K50*24</f>
        <v>4536</v>
      </c>
      <c r="M50" s="70" t="s">
        <v>295</v>
      </c>
    </row>
    <row r="51" spans="1:23">
      <c r="R51" s="33" t="s">
        <v>61</v>
      </c>
    </row>
    <row r="53" spans="1:23">
      <c r="T53" s="46" t="s">
        <v>231</v>
      </c>
    </row>
    <row r="54" spans="1:23">
      <c r="T54" s="33">
        <f>SUM(H5:I11)</f>
        <v>4451</v>
      </c>
      <c r="U54" s="33">
        <v>1.5</v>
      </c>
      <c r="V54" s="37">
        <f>T54/U54/24</f>
        <v>123.6388888888889</v>
      </c>
      <c r="W54" s="37" t="s">
        <v>230</v>
      </c>
    </row>
    <row r="56" spans="1:23">
      <c r="R56" s="114" t="s">
        <v>364</v>
      </c>
    </row>
    <row r="57" spans="1:23" ht="15.75" thickBot="1">
      <c r="R57" s="116">
        <f>SUM(R59:R62)</f>
        <v>1956.7217502132403</v>
      </c>
      <c r="S57" s="110" t="s">
        <v>366</v>
      </c>
    </row>
    <row r="58" spans="1:23">
      <c r="J58" s="19" t="s">
        <v>60</v>
      </c>
      <c r="R58" s="119">
        <f>SUM(R59:R63)</f>
        <v>3687.328034874874</v>
      </c>
      <c r="S58" s="110" t="s">
        <v>365</v>
      </c>
    </row>
    <row r="59" spans="1:23">
      <c r="R59" s="118">
        <v>161.82470436166616</v>
      </c>
      <c r="S59" s="33" t="s">
        <v>358</v>
      </c>
    </row>
    <row r="60" spans="1:23">
      <c r="J60" s="19" t="s">
        <v>59</v>
      </c>
      <c r="R60" s="118">
        <v>461.49500924310246</v>
      </c>
      <c r="S60" s="33" t="s">
        <v>359</v>
      </c>
    </row>
    <row r="61" spans="1:23">
      <c r="R61" s="118">
        <v>549.8837268121697</v>
      </c>
      <c r="S61" s="33" t="s">
        <v>360</v>
      </c>
    </row>
    <row r="62" spans="1:23">
      <c r="J62" s="33" t="s">
        <v>58</v>
      </c>
      <c r="R62" s="118">
        <v>783.51830979630188</v>
      </c>
      <c r="S62" s="33" t="s">
        <v>361</v>
      </c>
    </row>
    <row r="63" spans="1:23">
      <c r="R63" s="118">
        <v>1730.6062846616337</v>
      </c>
      <c r="S63" s="33" t="s">
        <v>362</v>
      </c>
    </row>
    <row r="64" spans="1:23">
      <c r="J64" s="33" t="s">
        <v>57</v>
      </c>
      <c r="R64" s="115"/>
      <c r="S64" s="33" t="s">
        <v>363</v>
      </c>
    </row>
    <row r="65" spans="10:19">
      <c r="J65" s="33">
        <v>760</v>
      </c>
      <c r="K65" s="35">
        <v>-3.12</v>
      </c>
      <c r="R65" s="117"/>
      <c r="S65" s="117"/>
    </row>
    <row r="66" spans="10:19">
      <c r="J66" s="33">
        <v>796</v>
      </c>
      <c r="K66" s="35">
        <v>-3.3540000000000005</v>
      </c>
      <c r="L66" s="33">
        <f>K65-K66</f>
        <v>0.23400000000000043</v>
      </c>
      <c r="R66" s="117"/>
      <c r="S66" s="117"/>
    </row>
    <row r="67" spans="10:19">
      <c r="R67" s="117"/>
      <c r="S67" s="117"/>
    </row>
    <row r="68" spans="10:19">
      <c r="J68" s="19" t="s">
        <v>89</v>
      </c>
      <c r="R68" s="117"/>
      <c r="S68" s="117"/>
    </row>
    <row r="69" spans="10:19">
      <c r="R69" s="117"/>
      <c r="S69" s="117"/>
    </row>
    <row r="89" spans="1:21">
      <c r="A89" s="159" t="s">
        <v>1083</v>
      </c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</row>
    <row r="90" spans="1:21">
      <c r="A90" s="159"/>
      <c r="B90" s="159"/>
      <c r="C90" s="159"/>
      <c r="D90" s="159"/>
      <c r="E90" s="159"/>
      <c r="F90" s="159"/>
      <c r="G90" s="159" t="s">
        <v>1082</v>
      </c>
      <c r="H90" s="159"/>
      <c r="I90" s="159" t="s">
        <v>1081</v>
      </c>
      <c r="J90" s="159"/>
      <c r="K90" s="159"/>
      <c r="L90" s="159"/>
      <c r="M90" s="159"/>
      <c r="N90" s="159"/>
      <c r="O90" s="159">
        <v>2.9</v>
      </c>
      <c r="P90" s="159"/>
      <c r="Q90" s="72">
        <v>2.4</v>
      </c>
      <c r="R90" s="141" t="s">
        <v>79</v>
      </c>
      <c r="S90" s="72">
        <v>2.9</v>
      </c>
      <c r="T90" s="159"/>
      <c r="U90" s="159"/>
    </row>
    <row r="91" spans="1:21">
      <c r="A91" s="159"/>
      <c r="B91" s="159" t="s">
        <v>1081</v>
      </c>
      <c r="C91" s="159"/>
      <c r="D91" s="159"/>
      <c r="E91" s="159"/>
      <c r="F91" s="159"/>
      <c r="G91" s="159" t="s">
        <v>1080</v>
      </c>
      <c r="H91" s="159"/>
      <c r="I91" s="159" t="s">
        <v>1079</v>
      </c>
      <c r="J91" s="159"/>
      <c r="K91" s="159"/>
      <c r="L91" s="159"/>
      <c r="M91" s="159"/>
      <c r="N91" s="159"/>
      <c r="O91" s="159">
        <v>11</v>
      </c>
      <c r="P91" s="159"/>
      <c r="Q91" s="73">
        <v>13</v>
      </c>
      <c r="R91" s="141" t="s">
        <v>6</v>
      </c>
      <c r="S91" s="73">
        <v>13</v>
      </c>
      <c r="T91" s="159"/>
      <c r="U91" s="159"/>
    </row>
    <row r="92" spans="1:21">
      <c r="A92" s="159"/>
      <c r="B92" s="159" t="s">
        <v>1078</v>
      </c>
      <c r="C92" s="159"/>
      <c r="D92" s="159"/>
      <c r="E92" s="159" t="s">
        <v>1077</v>
      </c>
      <c r="F92" s="159"/>
      <c r="G92" s="159" t="s">
        <v>1076</v>
      </c>
      <c r="H92" s="159" t="s">
        <v>1075</v>
      </c>
      <c r="I92" s="159" t="s">
        <v>1074</v>
      </c>
      <c r="J92" s="159"/>
      <c r="K92" s="159"/>
      <c r="L92" s="159"/>
      <c r="M92" s="159"/>
      <c r="N92" s="159" t="s">
        <v>1073</v>
      </c>
      <c r="O92" s="159"/>
      <c r="P92" s="159"/>
      <c r="Q92" s="141"/>
      <c r="R92" s="141"/>
      <c r="S92" s="159"/>
      <c r="T92" s="159"/>
      <c r="U92" s="159"/>
    </row>
    <row r="93" spans="1:21">
      <c r="A93" s="159"/>
      <c r="B93" s="159" t="s">
        <v>1072</v>
      </c>
      <c r="C93" s="159"/>
      <c r="D93" s="159"/>
      <c r="E93" s="159" t="s">
        <v>1071</v>
      </c>
      <c r="F93" s="159"/>
      <c r="G93" s="159" t="s">
        <v>1070</v>
      </c>
      <c r="H93" s="159" t="s">
        <v>1069</v>
      </c>
      <c r="I93" s="159" t="s">
        <v>1068</v>
      </c>
      <c r="J93" s="159"/>
      <c r="K93" s="159"/>
      <c r="L93" s="159"/>
      <c r="M93" s="159" t="s">
        <v>1067</v>
      </c>
      <c r="N93" s="159" t="s">
        <v>1066</v>
      </c>
      <c r="O93" s="159"/>
      <c r="P93" s="159"/>
      <c r="Q93" s="159"/>
      <c r="R93" s="159"/>
      <c r="S93" s="159" t="s">
        <v>1065</v>
      </c>
      <c r="T93" s="159"/>
      <c r="U93" s="159"/>
    </row>
    <row r="94" spans="1:21">
      <c r="A94" s="159"/>
      <c r="B94" s="159" t="s">
        <v>468</v>
      </c>
      <c r="C94" s="159" t="s">
        <v>1064</v>
      </c>
      <c r="D94" s="159">
        <v>2.2000000000000002</v>
      </c>
      <c r="E94" s="159" t="s">
        <v>1063</v>
      </c>
      <c r="F94" s="159" t="s">
        <v>1062</v>
      </c>
      <c r="G94" s="159" t="s">
        <v>1061</v>
      </c>
      <c r="H94" s="159" t="s">
        <v>1060</v>
      </c>
      <c r="I94" s="159" t="s">
        <v>1059</v>
      </c>
      <c r="J94" s="159" t="s">
        <v>1058</v>
      </c>
      <c r="K94" s="159" t="s">
        <v>1057</v>
      </c>
      <c r="L94" s="159" t="s">
        <v>1056</v>
      </c>
      <c r="M94" s="159" t="s">
        <v>1055</v>
      </c>
      <c r="N94" s="159" t="s">
        <v>1054</v>
      </c>
      <c r="O94" s="159" t="s">
        <v>1053</v>
      </c>
      <c r="P94" s="159" t="s">
        <v>1052</v>
      </c>
      <c r="Q94" s="159"/>
      <c r="R94" s="159"/>
      <c r="S94" s="159"/>
      <c r="T94" s="159"/>
      <c r="U94" s="159"/>
    </row>
    <row r="95" spans="1:21">
      <c r="A95" s="160">
        <v>43374</v>
      </c>
      <c r="B95" s="159" t="s">
        <v>345</v>
      </c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41" t="s">
        <v>1050</v>
      </c>
      <c r="R95" s="141" t="s">
        <v>1051</v>
      </c>
      <c r="S95" s="141" t="s">
        <v>1050</v>
      </c>
      <c r="T95" s="159"/>
      <c r="U95" s="159"/>
    </row>
    <row r="96" spans="1:21">
      <c r="A96" s="160">
        <v>43405</v>
      </c>
      <c r="B96" s="159">
        <v>2</v>
      </c>
      <c r="C96" s="141">
        <v>4.2866666666666786</v>
      </c>
      <c r="D96" s="141">
        <f>B96+D$94</f>
        <v>4.2</v>
      </c>
      <c r="E96" s="159"/>
      <c r="F96" s="159">
        <v>19.98</v>
      </c>
      <c r="G96" s="159">
        <v>0.67</v>
      </c>
      <c r="H96" s="159">
        <v>9</v>
      </c>
      <c r="I96" s="159"/>
      <c r="J96" s="159"/>
      <c r="K96" s="159"/>
      <c r="L96" s="159">
        <v>286.5</v>
      </c>
      <c r="M96" s="159">
        <v>607</v>
      </c>
      <c r="N96" s="159">
        <v>1</v>
      </c>
      <c r="O96" s="159" t="s">
        <v>1049</v>
      </c>
      <c r="P96" s="159"/>
      <c r="Q96" s="141">
        <f t="shared" ref="Q96:Q104" si="19">IF(Q$91-B96&gt;0,Q$91-B96,0)*Q$90/30</f>
        <v>0.88</v>
      </c>
      <c r="R96" s="141">
        <f t="shared" ref="R96:R104" si="20">M96/(A97-A96)/24</f>
        <v>0.84305555555555556</v>
      </c>
      <c r="S96" s="141">
        <f>IF(S$91-C96&gt;0,S$91-C96,0)*S$90/30</f>
        <v>0.84228888888888764</v>
      </c>
      <c r="T96" s="159"/>
      <c r="U96" s="159"/>
    </row>
    <row r="97" spans="1:21">
      <c r="A97" s="160">
        <v>43435</v>
      </c>
      <c r="B97" s="159">
        <v>0</v>
      </c>
      <c r="C97" s="141">
        <v>3.2290322580642932</v>
      </c>
      <c r="D97" s="141">
        <f>B97+D$94</f>
        <v>2.2000000000000002</v>
      </c>
      <c r="E97" s="159"/>
      <c r="F97" s="159">
        <v>14.16</v>
      </c>
      <c r="G97" s="159">
        <v>0.46</v>
      </c>
      <c r="H97" s="159">
        <v>22</v>
      </c>
      <c r="I97" s="159">
        <v>5.8</v>
      </c>
      <c r="J97" s="159">
        <v>22.5</v>
      </c>
      <c r="K97" s="159">
        <v>48.1</v>
      </c>
      <c r="L97" s="159">
        <v>301.5</v>
      </c>
      <c r="M97" s="159">
        <v>816</v>
      </c>
      <c r="N97" s="159">
        <v>1</v>
      </c>
      <c r="O97" s="159">
        <v>3</v>
      </c>
      <c r="P97" s="159">
        <v>1</v>
      </c>
      <c r="Q97" s="141">
        <f t="shared" si="19"/>
        <v>1.04</v>
      </c>
      <c r="R97" s="141">
        <f t="shared" si="20"/>
        <v>1.0967741935483872</v>
      </c>
      <c r="S97" s="141">
        <f>IF(S$91-C97&gt;0,S$91-C97,0)*S$90/30</f>
        <v>0.94452688172045152</v>
      </c>
      <c r="T97" s="159"/>
      <c r="U97" s="159"/>
    </row>
    <row r="98" spans="1:21">
      <c r="A98" s="160">
        <v>43466</v>
      </c>
      <c r="B98" s="159">
        <v>-3.3</v>
      </c>
      <c r="C98" s="141">
        <v>-1.2903225806557232E-2</v>
      </c>
      <c r="D98" s="141">
        <f>B98+D$94</f>
        <v>-1.0999999999999996</v>
      </c>
      <c r="E98" s="159">
        <v>92.21</v>
      </c>
      <c r="F98" s="159">
        <v>20.2</v>
      </c>
      <c r="G98" s="159">
        <v>0.65</v>
      </c>
      <c r="H98" s="159">
        <v>31</v>
      </c>
      <c r="I98" s="159">
        <v>6.9</v>
      </c>
      <c r="J98" s="159">
        <v>22.4</v>
      </c>
      <c r="K98" s="159">
        <v>45.3</v>
      </c>
      <c r="L98" s="159">
        <v>541</v>
      </c>
      <c r="M98" s="159">
        <v>971</v>
      </c>
      <c r="N98" s="159">
        <v>1</v>
      </c>
      <c r="O98" s="159">
        <v>3</v>
      </c>
      <c r="P98" s="159">
        <v>1</v>
      </c>
      <c r="Q98" s="141">
        <f t="shared" si="19"/>
        <v>1.3039999999999998</v>
      </c>
      <c r="R98" s="141">
        <f t="shared" si="20"/>
        <v>1.3051075268817205</v>
      </c>
      <c r="S98" s="141">
        <f>IF(S$91-C98&gt;0,S$91-C98,0)*S$90/30</f>
        <v>1.2579139784946338</v>
      </c>
      <c r="T98" s="159"/>
      <c r="U98" s="159"/>
    </row>
    <row r="99" spans="1:21">
      <c r="A99" s="160">
        <v>43497</v>
      </c>
      <c r="B99" s="159">
        <v>1.2</v>
      </c>
      <c r="C99" s="141">
        <v>3.067857142857195</v>
      </c>
      <c r="D99" s="141">
        <f>B99+D$94</f>
        <v>3.4000000000000004</v>
      </c>
      <c r="E99" s="159">
        <v>79.58</v>
      </c>
      <c r="F99" s="159">
        <v>50.21</v>
      </c>
      <c r="G99" s="159">
        <v>1.79</v>
      </c>
      <c r="H99" s="159">
        <v>28</v>
      </c>
      <c r="I99" s="159">
        <v>4.5</v>
      </c>
      <c r="J99" s="159">
        <v>22.6</v>
      </c>
      <c r="K99" s="159">
        <v>45.7</v>
      </c>
      <c r="L99" s="159">
        <v>263</v>
      </c>
      <c r="M99" s="159">
        <v>619</v>
      </c>
      <c r="N99" s="159">
        <v>1</v>
      </c>
      <c r="O99" s="159">
        <v>3</v>
      </c>
      <c r="P99" s="159">
        <v>1</v>
      </c>
      <c r="Q99" s="141">
        <f t="shared" si="19"/>
        <v>0.94400000000000006</v>
      </c>
      <c r="R99" s="141">
        <f t="shared" si="20"/>
        <v>0.92113095238095244</v>
      </c>
      <c r="S99" s="141">
        <f>IF(S$91-C99&gt;0,S$91-C99,0)*S$90/30</f>
        <v>0.96010714285713783</v>
      </c>
      <c r="T99" s="159"/>
      <c r="U99" s="159"/>
    </row>
    <row r="100" spans="1:21">
      <c r="A100" s="160">
        <v>43525</v>
      </c>
      <c r="B100" s="141">
        <v>3.5</v>
      </c>
      <c r="C100" s="159"/>
      <c r="D100" s="141"/>
      <c r="E100" s="159"/>
      <c r="F100" s="159"/>
      <c r="G100" s="159"/>
      <c r="H100" s="159"/>
      <c r="I100" s="159"/>
      <c r="J100" s="159"/>
      <c r="K100" s="159"/>
      <c r="L100" s="159"/>
      <c r="M100" s="159">
        <v>601</v>
      </c>
      <c r="N100" s="159"/>
      <c r="O100" s="159"/>
      <c r="P100" s="159"/>
      <c r="Q100" s="141">
        <f t="shared" si="19"/>
        <v>0.76</v>
      </c>
      <c r="R100" s="141">
        <f t="shared" si="20"/>
        <v>0.80779569892473113</v>
      </c>
      <c r="S100" s="141"/>
      <c r="T100" s="159"/>
      <c r="U100" s="159"/>
    </row>
    <row r="101" spans="1:21">
      <c r="A101" s="160">
        <v>43556</v>
      </c>
      <c r="B101" s="141">
        <v>7.1</v>
      </c>
      <c r="C101" s="159"/>
      <c r="D101" s="141"/>
      <c r="E101" s="159"/>
      <c r="F101" s="159"/>
      <c r="G101" s="159"/>
      <c r="H101" s="159"/>
      <c r="I101" s="159"/>
      <c r="J101" s="159"/>
      <c r="K101" s="159"/>
      <c r="L101" s="159"/>
      <c r="M101" s="159">
        <v>358</v>
      </c>
      <c r="N101" s="159"/>
      <c r="O101" s="159"/>
      <c r="P101" s="159"/>
      <c r="Q101" s="141">
        <f t="shared" si="19"/>
        <v>0.47200000000000003</v>
      </c>
      <c r="R101" s="141">
        <f t="shared" si="20"/>
        <v>0.49722222222222223</v>
      </c>
      <c r="S101" s="141"/>
      <c r="T101" s="159"/>
      <c r="U101" s="159"/>
    </row>
    <row r="102" spans="1:21">
      <c r="A102" s="160">
        <v>43586</v>
      </c>
      <c r="B102" s="141">
        <v>8</v>
      </c>
      <c r="C102" s="159"/>
      <c r="D102" s="141"/>
      <c r="E102" s="159"/>
      <c r="F102" s="159"/>
      <c r="G102" s="159"/>
      <c r="H102" s="159"/>
      <c r="I102" s="159"/>
      <c r="J102" s="159"/>
      <c r="K102" s="159"/>
      <c r="L102" s="159"/>
      <c r="M102" s="159">
        <v>341</v>
      </c>
      <c r="N102" s="159"/>
      <c r="O102" s="159"/>
      <c r="P102" s="159"/>
      <c r="Q102" s="141">
        <f t="shared" si="19"/>
        <v>0.4</v>
      </c>
      <c r="R102" s="141">
        <f t="shared" si="20"/>
        <v>0.45833333333333331</v>
      </c>
      <c r="S102" s="141"/>
      <c r="T102" s="159"/>
      <c r="U102" s="159"/>
    </row>
    <row r="103" spans="1:21">
      <c r="A103" s="160">
        <v>43617</v>
      </c>
      <c r="B103" s="141">
        <v>18.399999999999999</v>
      </c>
      <c r="C103" s="159"/>
      <c r="D103" s="141"/>
      <c r="E103" s="159"/>
      <c r="F103" s="159"/>
      <c r="G103" s="159"/>
      <c r="H103" s="159"/>
      <c r="I103" s="159"/>
      <c r="J103" s="159"/>
      <c r="K103" s="159"/>
      <c r="L103" s="159"/>
      <c r="M103" s="159">
        <v>199</v>
      </c>
      <c r="N103" s="159"/>
      <c r="O103" s="159"/>
      <c r="P103" s="159"/>
      <c r="Q103" s="141">
        <f t="shared" si="19"/>
        <v>0</v>
      </c>
      <c r="R103" s="141">
        <f t="shared" si="20"/>
        <v>0.27638888888888891</v>
      </c>
      <c r="S103" s="141"/>
      <c r="T103" s="159"/>
      <c r="U103" s="159"/>
    </row>
    <row r="104" spans="1:21">
      <c r="A104" s="160">
        <v>43647</v>
      </c>
      <c r="B104" s="141">
        <v>16.7</v>
      </c>
      <c r="C104" s="159"/>
      <c r="D104" s="141"/>
      <c r="E104" s="159"/>
      <c r="F104" s="159"/>
      <c r="G104" s="159"/>
      <c r="H104" s="159"/>
      <c r="I104" s="159"/>
      <c r="J104" s="159"/>
      <c r="K104" s="159"/>
      <c r="L104" s="159"/>
      <c r="M104" s="159">
        <v>214</v>
      </c>
      <c r="N104" s="159"/>
      <c r="O104" s="159"/>
      <c r="P104" s="159"/>
      <c r="Q104" s="141">
        <f t="shared" si="19"/>
        <v>0</v>
      </c>
      <c r="R104" s="141">
        <f t="shared" si="20"/>
        <v>0.28763440860215056</v>
      </c>
      <c r="S104" s="141"/>
      <c r="T104" s="159"/>
      <c r="U104" s="159"/>
    </row>
    <row r="105" spans="1:21">
      <c r="A105" s="160">
        <v>43678</v>
      </c>
      <c r="B105" s="159"/>
      <c r="C105" s="159"/>
      <c r="D105" s="141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41"/>
      <c r="R105" s="141"/>
      <c r="S105" s="141"/>
      <c r="T105" s="159"/>
      <c r="U105" s="159"/>
    </row>
    <row r="106" spans="1:21">
      <c r="A106" s="160">
        <v>43709</v>
      </c>
      <c r="B106" s="159"/>
      <c r="C106" s="159"/>
      <c r="D106" s="141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41"/>
      <c r="R106" s="141"/>
      <c r="S106" s="141"/>
      <c r="T106" s="159"/>
      <c r="U106" s="159"/>
    </row>
    <row r="107" spans="1:21">
      <c r="A107" s="160">
        <v>43739</v>
      </c>
      <c r="B107" s="159"/>
      <c r="C107" s="159"/>
      <c r="D107" s="141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41"/>
      <c r="R107" s="141"/>
      <c r="S107" s="141"/>
      <c r="T107" s="159"/>
      <c r="U107" s="159"/>
    </row>
    <row r="108" spans="1:21">
      <c r="A108" s="160">
        <v>43770</v>
      </c>
      <c r="B108" s="159">
        <v>2.6</v>
      </c>
      <c r="C108" s="141">
        <v>6.1799999999999269</v>
      </c>
      <c r="D108" s="141">
        <f>B108+D$94</f>
        <v>4.8000000000000007</v>
      </c>
      <c r="E108" s="159">
        <v>95.16</v>
      </c>
      <c r="F108" s="159">
        <v>15.94</v>
      </c>
      <c r="G108" s="159">
        <v>0.53</v>
      </c>
      <c r="H108" s="159">
        <v>2</v>
      </c>
      <c r="I108" s="159">
        <v>4.2</v>
      </c>
      <c r="J108" s="159">
        <v>22.3</v>
      </c>
      <c r="K108" s="159">
        <v>53.9</v>
      </c>
      <c r="L108" s="159">
        <v>332</v>
      </c>
      <c r="M108" s="159">
        <v>644</v>
      </c>
      <c r="N108" s="159">
        <v>1</v>
      </c>
      <c r="O108" s="159">
        <v>3</v>
      </c>
      <c r="P108" s="159">
        <v>1</v>
      </c>
      <c r="Q108" s="141">
        <f>IF(Q$91-B108&gt;0,Q$91-B108,0)*Q$90/30</f>
        <v>0.83200000000000007</v>
      </c>
      <c r="R108" s="141">
        <f>M108/(A109-A108)/24</f>
        <v>0.89444444444444438</v>
      </c>
      <c r="S108" s="141">
        <f>IF(S$91-C108&gt;0,S$91-C108,0)*S$90/30</f>
        <v>0.65926666666667377</v>
      </c>
      <c r="T108" s="159"/>
      <c r="U108" s="159"/>
    </row>
    <row r="109" spans="1:21">
      <c r="A109" s="160">
        <v>43800</v>
      </c>
      <c r="B109" s="159">
        <v>0.5</v>
      </c>
      <c r="C109" s="141">
        <v>3.0612903225802226</v>
      </c>
      <c r="D109" s="141">
        <f>B109+D$94</f>
        <v>2.7</v>
      </c>
      <c r="E109" s="159">
        <v>92.24</v>
      </c>
      <c r="F109" s="159">
        <v>17.670000000000002</v>
      </c>
      <c r="G109" s="159">
        <v>0.56999999999999995</v>
      </c>
      <c r="H109" s="159">
        <v>17</v>
      </c>
      <c r="I109" s="159">
        <v>4.4000000000000004</v>
      </c>
      <c r="J109" s="159">
        <v>22.4</v>
      </c>
      <c r="K109" s="159">
        <v>51.7</v>
      </c>
      <c r="L109" s="159">
        <v>343.3</v>
      </c>
      <c r="M109" s="159">
        <v>785</v>
      </c>
      <c r="N109" s="159">
        <v>1</v>
      </c>
      <c r="O109" s="159">
        <v>3</v>
      </c>
      <c r="P109" s="159">
        <v>1</v>
      </c>
      <c r="Q109" s="141">
        <f>IF(Q$91-B109&gt;0,Q$91-B109,0)*Q$90/30</f>
        <v>1</v>
      </c>
      <c r="R109" s="141">
        <f>M109/(A110-A109)/24</f>
        <v>1.0551075268817205</v>
      </c>
      <c r="S109" s="141">
        <f>IF(S$91-C109&gt;0,S$91-C109,0)*S$90/30</f>
        <v>0.96074193548391162</v>
      </c>
      <c r="T109" s="159"/>
      <c r="U109" s="159"/>
    </row>
    <row r="110" spans="1:21">
      <c r="A110" s="160">
        <v>43831</v>
      </c>
      <c r="B110" s="159">
        <v>-0.3</v>
      </c>
      <c r="C110" s="141">
        <v>1.8483870967739353</v>
      </c>
      <c r="D110" s="141">
        <f>B110+D$94</f>
        <v>1.9000000000000001</v>
      </c>
      <c r="E110" s="159">
        <v>90.9</v>
      </c>
      <c r="F110" s="159">
        <v>23.51</v>
      </c>
      <c r="G110" s="159">
        <v>0.76</v>
      </c>
      <c r="H110" s="159">
        <v>10</v>
      </c>
      <c r="I110" s="159">
        <v>4.2</v>
      </c>
      <c r="J110" s="159">
        <v>22.3</v>
      </c>
      <c r="K110" s="159">
        <v>51.7</v>
      </c>
      <c r="L110" s="159">
        <v>450</v>
      </c>
      <c r="M110" s="159">
        <v>821</v>
      </c>
      <c r="N110" s="159">
        <v>1</v>
      </c>
      <c r="O110" s="159">
        <v>3</v>
      </c>
      <c r="P110" s="159">
        <v>1</v>
      </c>
      <c r="Q110" s="141">
        <f>IF(Q$91-B110&gt;0,Q$91-B110,0)*Q$90/30</f>
        <v>1.0640000000000001</v>
      </c>
      <c r="R110" s="141">
        <f>M110/(A111-A110)/24</f>
        <v>1.103494623655914</v>
      </c>
      <c r="S110" s="141">
        <f>IF(S$91-C110&gt;0,S$91-C110,0)*S$90/30</f>
        <v>1.0779892473118529</v>
      </c>
      <c r="T110" s="159"/>
      <c r="U110" s="159"/>
    </row>
    <row r="111" spans="1:21">
      <c r="A111" s="160">
        <v>43862</v>
      </c>
      <c r="B111" s="159">
        <v>1.6</v>
      </c>
      <c r="C111" s="141">
        <v>5.1965517241380814</v>
      </c>
      <c r="D111" s="141">
        <f>B111+D$94</f>
        <v>3.8000000000000003</v>
      </c>
      <c r="E111" s="159">
        <v>88.5</v>
      </c>
      <c r="F111" s="159">
        <v>38.9</v>
      </c>
      <c r="G111" s="159">
        <v>1.34</v>
      </c>
      <c r="H111" s="159">
        <v>23</v>
      </c>
      <c r="I111" s="159" t="s">
        <v>1048</v>
      </c>
      <c r="J111" s="159">
        <v>22.5</v>
      </c>
      <c r="K111" s="159">
        <v>50.9</v>
      </c>
      <c r="L111" s="159">
        <v>388</v>
      </c>
      <c r="M111" s="159">
        <v>729</v>
      </c>
      <c r="N111" s="159">
        <v>1</v>
      </c>
      <c r="O111" s="159">
        <v>3</v>
      </c>
      <c r="P111" s="159">
        <v>1</v>
      </c>
      <c r="Q111" s="141">
        <f>IF(Q$91-B111&gt;0,Q$91-B111,0)*Q$90/30</f>
        <v>0.91200000000000003</v>
      </c>
      <c r="R111" s="141">
        <f>M111/(A112-A111)/24</f>
        <v>1.0474137931034482</v>
      </c>
      <c r="S111" s="141">
        <f>IF(S$91-C111&gt;0,S$91-C111,0)*S$90/30</f>
        <v>0.75433333333331876</v>
      </c>
      <c r="T111" s="159"/>
      <c r="U111" s="159"/>
    </row>
    <row r="112" spans="1:21">
      <c r="A112" s="160">
        <v>43891</v>
      </c>
      <c r="B112" s="159">
        <v>1.1000000000000001</v>
      </c>
      <c r="C112" s="159"/>
      <c r="D112" s="141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41"/>
      <c r="R112" s="141"/>
      <c r="S112" s="141"/>
      <c r="T112" s="159"/>
      <c r="U112" s="159"/>
    </row>
    <row r="113" spans="1:21" s="141" customFormat="1">
      <c r="A113" s="160">
        <v>43922</v>
      </c>
      <c r="B113" s="159"/>
      <c r="C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T113" s="159"/>
      <c r="U113" s="159"/>
    </row>
    <row r="114" spans="1:21" s="141" customFormat="1">
      <c r="A114" s="160">
        <v>43952</v>
      </c>
      <c r="B114" s="159"/>
      <c r="C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T114" s="159"/>
      <c r="U114" s="159"/>
    </row>
    <row r="115" spans="1:21" s="141" customFormat="1">
      <c r="A115" s="160">
        <v>43983</v>
      </c>
      <c r="B115" s="159"/>
      <c r="C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T115" s="159"/>
      <c r="U115" s="159"/>
    </row>
    <row r="116" spans="1:21" s="141" customFormat="1">
      <c r="A116" s="160">
        <v>44013</v>
      </c>
      <c r="B116" s="159"/>
      <c r="C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T116" s="159"/>
      <c r="U116" s="159"/>
    </row>
    <row r="117" spans="1:21" s="141" customFormat="1">
      <c r="A117" s="160">
        <v>44044</v>
      </c>
      <c r="B117" s="159"/>
      <c r="C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T117" s="159"/>
      <c r="U117" s="159"/>
    </row>
    <row r="118" spans="1:21" s="141" customFormat="1">
      <c r="A118" s="160">
        <v>44075</v>
      </c>
      <c r="B118" s="159"/>
      <c r="C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T118" s="159"/>
      <c r="U118" s="159"/>
    </row>
    <row r="119" spans="1:21">
      <c r="A119" s="160">
        <v>44105</v>
      </c>
      <c r="B119" s="159"/>
      <c r="C119" s="159"/>
      <c r="D119" s="141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41"/>
      <c r="R119" s="141"/>
      <c r="S119" s="141"/>
      <c r="T119" s="159"/>
      <c r="U119" s="159"/>
    </row>
    <row r="120" spans="1:21">
      <c r="A120" s="160">
        <v>44136</v>
      </c>
      <c r="B120" s="159">
        <v>2.6</v>
      </c>
      <c r="C120" s="141">
        <v>4.4833333333335759</v>
      </c>
      <c r="D120" s="141">
        <f>B120+D$94</f>
        <v>4.8000000000000007</v>
      </c>
      <c r="E120" s="159">
        <v>91.8</v>
      </c>
      <c r="F120" s="159">
        <v>30.3</v>
      </c>
      <c r="G120" s="159">
        <v>1.01</v>
      </c>
      <c r="H120" s="159">
        <v>2</v>
      </c>
      <c r="I120" s="159">
        <v>2.9</v>
      </c>
      <c r="J120" s="159">
        <v>23.2</v>
      </c>
      <c r="K120" s="159">
        <v>51.1</v>
      </c>
      <c r="L120" s="159">
        <v>82</v>
      </c>
      <c r="M120" s="159">
        <v>540</v>
      </c>
      <c r="N120" s="159">
        <v>2</v>
      </c>
      <c r="O120" s="159">
        <v>4</v>
      </c>
      <c r="P120" s="159">
        <v>0</v>
      </c>
      <c r="Q120" s="141">
        <f>IF(Q$91-B120&gt;0,Q$91-B120,0)*Q$90/30</f>
        <v>0.83200000000000007</v>
      </c>
      <c r="R120" s="141">
        <f>M120/(A121-A120)/24</f>
        <v>0.75</v>
      </c>
      <c r="S120" s="141">
        <f>IF(S$91-C120&gt;0,S$91-C120,0)*S$90/30</f>
        <v>0.82327777777775435</v>
      </c>
      <c r="T120" s="159"/>
      <c r="U120" s="159"/>
    </row>
    <row r="121" spans="1:21">
      <c r="A121" s="160">
        <v>44166</v>
      </c>
      <c r="B121" s="159">
        <v>-0.7</v>
      </c>
      <c r="C121" s="141">
        <v>2.9193548387097947</v>
      </c>
      <c r="D121" s="141">
        <f>B121+D$94</f>
        <v>1.5000000000000002</v>
      </c>
      <c r="E121" s="159">
        <v>96</v>
      </c>
      <c r="F121" s="159">
        <v>9.6199999999999992</v>
      </c>
      <c r="G121" s="159">
        <v>0.31</v>
      </c>
      <c r="H121" s="159">
        <v>12</v>
      </c>
      <c r="I121" s="159">
        <v>3.6</v>
      </c>
      <c r="J121" s="159">
        <v>22.8</v>
      </c>
      <c r="K121" s="159">
        <v>54.3</v>
      </c>
      <c r="L121" s="159">
        <v>286</v>
      </c>
      <c r="M121" s="159">
        <v>892</v>
      </c>
      <c r="N121" s="159">
        <v>2</v>
      </c>
      <c r="O121" s="159">
        <v>4</v>
      </c>
      <c r="P121" s="159">
        <v>0</v>
      </c>
      <c r="Q121" s="141">
        <f>IF(Q$91-B121&gt;0,Q$91-B121,0)*Q$90/30</f>
        <v>1.0959999999999999</v>
      </c>
      <c r="R121" s="141">
        <f>M121/(A122-A121)/24</f>
        <v>1.1989247311827957</v>
      </c>
      <c r="S121" s="141">
        <f>IF(S$91-C121&gt;0,S$91-C121,0)*S$90/30</f>
        <v>0.97446236559138633</v>
      </c>
      <c r="T121" s="159"/>
      <c r="U121" s="159"/>
    </row>
    <row r="122" spans="1:21">
      <c r="A122" s="160">
        <v>44197</v>
      </c>
      <c r="B122" s="159">
        <v>-2.8</v>
      </c>
      <c r="C122" s="141">
        <v>5.4838709677325473E-2</v>
      </c>
      <c r="D122" s="141">
        <f>B122+D$94</f>
        <v>-0.59999999999999964</v>
      </c>
      <c r="E122" s="159">
        <v>94.4</v>
      </c>
      <c r="F122" s="159">
        <v>19.510000000000002</v>
      </c>
      <c r="G122" s="159">
        <v>0.63</v>
      </c>
      <c r="H122" s="159">
        <v>31</v>
      </c>
      <c r="I122" s="159">
        <v>3.9</v>
      </c>
      <c r="J122" s="159">
        <v>23.1</v>
      </c>
      <c r="K122" s="159">
        <v>49.1</v>
      </c>
      <c r="L122" s="159">
        <v>473</v>
      </c>
      <c r="M122" s="159">
        <v>1002</v>
      </c>
      <c r="N122" s="159">
        <v>2</v>
      </c>
      <c r="O122" s="159">
        <v>4</v>
      </c>
      <c r="P122" s="159">
        <v>0</v>
      </c>
      <c r="Q122" s="141">
        <f>IF(Q$91-B122&gt;0,Q$91-B122,0)*Q$90/30</f>
        <v>1.264</v>
      </c>
      <c r="R122" s="141">
        <f>M122/(A123-A122)/24</f>
        <v>1.346774193548387</v>
      </c>
      <c r="S122" s="141">
        <f>IF(S$91-C122&gt;0,S$91-C122,0)*S$90/30</f>
        <v>1.2513655913978587</v>
      </c>
      <c r="T122" s="159"/>
      <c r="U122" s="159"/>
    </row>
    <row r="123" spans="1:21">
      <c r="A123" s="160">
        <v>44228</v>
      </c>
      <c r="B123" s="159">
        <v>-2</v>
      </c>
      <c r="C123" s="141">
        <v>-0.5035714285715065</v>
      </c>
      <c r="D123" s="141">
        <f>B123+D$94</f>
        <v>0.20000000000000018</v>
      </c>
      <c r="E123" s="159">
        <v>90.5</v>
      </c>
      <c r="F123" s="159">
        <v>43.5</v>
      </c>
      <c r="G123" s="159">
        <v>1.55</v>
      </c>
      <c r="H123" s="159">
        <v>28</v>
      </c>
      <c r="I123" s="159">
        <v>3.2</v>
      </c>
      <c r="J123" s="159">
        <v>23.1</v>
      </c>
      <c r="K123" s="159">
        <v>48.4</v>
      </c>
      <c r="L123" s="159">
        <v>374</v>
      </c>
      <c r="M123" s="159">
        <v>789</v>
      </c>
      <c r="N123" s="159">
        <v>2</v>
      </c>
      <c r="O123" s="159">
        <v>4</v>
      </c>
      <c r="P123" s="159">
        <v>0</v>
      </c>
      <c r="Q123" s="141">
        <f>IF(Q$91-B123&gt;0,Q$91-B123,0)*Q$90/30</f>
        <v>1.2</v>
      </c>
      <c r="R123" s="141">
        <f>M123/(A124-A123)/24</f>
        <v>1.1741071428571428</v>
      </c>
      <c r="S123" s="141">
        <f>IF(S$91-C123&gt;0,S$91-C123,0)*S$90/30</f>
        <v>1.3053452380952455</v>
      </c>
      <c r="T123" s="159"/>
      <c r="U123" s="159"/>
    </row>
    <row r="124" spans="1:21">
      <c r="A124" s="160">
        <v>44256</v>
      </c>
      <c r="B124" s="159">
        <v>-0.7</v>
      </c>
      <c r="C124" s="159"/>
      <c r="D124" s="159"/>
      <c r="E124" s="159">
        <v>93.2</v>
      </c>
      <c r="F124" s="159">
        <v>102.9</v>
      </c>
      <c r="G124" s="159">
        <v>3.5</v>
      </c>
      <c r="H124" s="159"/>
      <c r="I124" s="159">
        <v>3.4</v>
      </c>
      <c r="J124" s="159">
        <v>23.1</v>
      </c>
      <c r="K124" s="159">
        <v>50.7</v>
      </c>
      <c r="L124" s="159">
        <v>1215</v>
      </c>
      <c r="M124" s="159">
        <v>3223</v>
      </c>
      <c r="N124" s="159"/>
      <c r="O124" s="159"/>
      <c r="P124" s="159"/>
      <c r="Q124" s="141"/>
      <c r="R124" s="159"/>
      <c r="S124" s="159"/>
      <c r="T124" s="159"/>
      <c r="U124" s="159"/>
    </row>
    <row r="125" spans="1:21">
      <c r="A125" s="159">
        <v>1</v>
      </c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41"/>
      <c r="R125" s="159"/>
      <c r="S125" s="159"/>
      <c r="T125" s="159"/>
      <c r="U125" s="159"/>
    </row>
    <row r="126" spans="1:21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41"/>
      <c r="R126" s="159"/>
      <c r="S126" s="159"/>
      <c r="T126" s="159"/>
      <c r="U126" s="159"/>
    </row>
    <row r="127" spans="1:21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</row>
    <row r="128" spans="1:21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</row>
    <row r="129" spans="1:21">
      <c r="A129" s="161">
        <v>43313</v>
      </c>
      <c r="B129" s="141" t="s">
        <v>1064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</row>
    <row r="130" spans="1:21">
      <c r="A130" s="162">
        <v>43344</v>
      </c>
      <c r="B130" s="141">
        <v>21.751612903225901</v>
      </c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</row>
    <row r="131" spans="1:21">
      <c r="A131" s="161">
        <v>43374</v>
      </c>
      <c r="B131" s="141">
        <v>16.043333333333369</v>
      </c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</row>
    <row r="132" spans="1:21">
      <c r="A132" s="162">
        <v>43405</v>
      </c>
      <c r="B132" s="141">
        <v>11.01935483870969</v>
      </c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</row>
    <row r="133" spans="1:21">
      <c r="A133" s="161">
        <v>43435</v>
      </c>
      <c r="B133" s="141">
        <v>4.2866666666666786</v>
      </c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</row>
    <row r="134" spans="1:21">
      <c r="A134" s="162">
        <v>43466</v>
      </c>
      <c r="B134" s="141">
        <v>3.2290322580642932</v>
      </c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</row>
    <row r="135" spans="1:21">
      <c r="A135" s="161">
        <v>43497</v>
      </c>
      <c r="B135" s="141">
        <v>-1.2903225806557232E-2</v>
      </c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</row>
    <row r="136" spans="1:21">
      <c r="A136" s="162">
        <v>43525</v>
      </c>
      <c r="B136" s="141">
        <v>3.067857142857195</v>
      </c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</row>
    <row r="137" spans="1:21">
      <c r="A137" s="161">
        <v>43556</v>
      </c>
      <c r="B137" s="141">
        <v>7.361290322580551</v>
      </c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</row>
    <row r="138" spans="1:21">
      <c r="A138" s="162">
        <v>43586</v>
      </c>
      <c r="B138" s="141">
        <v>10.860000000000097</v>
      </c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</row>
    <row r="139" spans="1:21">
      <c r="A139" s="161">
        <v>43617</v>
      </c>
      <c r="B139" s="141">
        <v>12.29354838709661</v>
      </c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</row>
    <row r="140" spans="1:21">
      <c r="A140" s="162">
        <v>43647</v>
      </c>
      <c r="B140" s="141">
        <v>22.053333333333526</v>
      </c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</row>
    <row r="141" spans="1:21">
      <c r="A141" s="161">
        <v>43678</v>
      </c>
      <c r="B141" s="141">
        <v>20.22903225806435</v>
      </c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</row>
    <row r="142" spans="1:21">
      <c r="A142" s="162">
        <v>43709</v>
      </c>
      <c r="B142" s="141">
        <v>20.332258064516104</v>
      </c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</row>
    <row r="143" spans="1:21">
      <c r="A143" s="161">
        <v>43739</v>
      </c>
      <c r="B143" s="141">
        <v>14.676666666666522</v>
      </c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</row>
    <row r="144" spans="1:21">
      <c r="A144" s="162">
        <v>43770</v>
      </c>
      <c r="B144" s="141">
        <v>10.209677419354721</v>
      </c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</row>
    <row r="145" spans="1:21">
      <c r="A145" s="161">
        <v>43800</v>
      </c>
      <c r="B145" s="141">
        <v>6.1799999999999269</v>
      </c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</row>
    <row r="146" spans="1:21">
      <c r="A146" s="162">
        <v>43831</v>
      </c>
      <c r="B146" s="141">
        <v>3.0612903225802226</v>
      </c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</row>
    <row r="147" spans="1:21">
      <c r="A147" s="161">
        <v>43862</v>
      </c>
      <c r="B147" s="141">
        <v>1.8483870967739353</v>
      </c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</row>
    <row r="148" spans="1:21">
      <c r="A148" s="162">
        <v>43891</v>
      </c>
      <c r="B148" s="141">
        <v>5.1965517241380814</v>
      </c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</row>
    <row r="149" spans="1:21">
      <c r="A149" s="161">
        <v>43922</v>
      </c>
      <c r="B149" s="141">
        <v>4.9870967741935015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</row>
    <row r="150" spans="1:21">
      <c r="A150" s="162">
        <v>43952</v>
      </c>
      <c r="B150" s="141">
        <v>10.960000000000218</v>
      </c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</row>
    <row r="151" spans="1:21">
      <c r="A151" s="161">
        <v>43983</v>
      </c>
      <c r="B151" s="141">
        <v>12.390322580645231</v>
      </c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</row>
    <row r="152" spans="1:21">
      <c r="A152" s="162">
        <v>44013</v>
      </c>
      <c r="B152" s="141">
        <v>17.819999999999951</v>
      </c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</row>
    <row r="153" spans="1:21">
      <c r="A153" s="161">
        <v>44044</v>
      </c>
      <c r="B153" s="141">
        <v>19.425806451613045</v>
      </c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</row>
    <row r="154" spans="1:21">
      <c r="A154" s="162">
        <v>44075</v>
      </c>
      <c r="B154" s="141">
        <v>20.164516129032329</v>
      </c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</row>
    <row r="155" spans="1:21">
      <c r="A155" s="161">
        <v>44105</v>
      </c>
      <c r="B155" s="141">
        <v>15.693333333333067</v>
      </c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</row>
    <row r="156" spans="1:21">
      <c r="A156" s="162">
        <v>44136</v>
      </c>
      <c r="B156" s="141">
        <v>10.200000000000024</v>
      </c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</row>
    <row r="157" spans="1:21">
      <c r="A157" s="161">
        <v>44166</v>
      </c>
      <c r="B157" s="141">
        <v>4.4833333333335759</v>
      </c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</row>
    <row r="158" spans="1:21">
      <c r="A158" s="162">
        <v>44197</v>
      </c>
      <c r="B158" s="141">
        <v>2.9193548387097947</v>
      </c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</row>
    <row r="159" spans="1:21">
      <c r="A159" s="161">
        <v>44228</v>
      </c>
      <c r="B159" s="141">
        <v>5.4838709677325473E-2</v>
      </c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</row>
    <row r="160" spans="1:21">
      <c r="A160" s="162">
        <v>44256</v>
      </c>
      <c r="B160" s="141">
        <v>-0.5035714285715065</v>
      </c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</row>
    <row r="161" spans="1:21">
      <c r="A161" s="161">
        <v>44287</v>
      </c>
      <c r="B161" s="141">
        <v>1.6750000000010914</v>
      </c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</row>
    <row r="162" spans="1:21">
      <c r="A162" s="162"/>
      <c r="B162" s="141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</row>
  </sheetData>
  <hyperlinks>
    <hyperlink ref="J58" r:id="rId1" location="text10"/>
    <hyperlink ref="J60" r:id="rId2" location="text31"/>
    <hyperlink ref="J68" r:id="rId3"/>
    <hyperlink ref="V1" r:id="rId4" location="text26"/>
    <hyperlink ref="F2" r:id="rId5"/>
  </hyperlinks>
  <pageMargins left="0.7" right="0.7" top="0.78740157499999996" bottom="0.78740157499999996" header="0.3" footer="0.3"/>
  <pageSetup paperSize="9" orientation="portrait" r:id="rId6"/>
  <drawing r:id="rId7"/>
</worksheet>
</file>

<file path=xl/worksheets/sheet30.xml><?xml version="1.0" encoding="utf-8"?>
<worksheet xmlns="http://schemas.openxmlformats.org/spreadsheetml/2006/main" xmlns:r="http://schemas.openxmlformats.org/officeDocument/2006/relationships">
  <dimension ref="A2:O43"/>
  <sheetViews>
    <sheetView topLeftCell="A28" workbookViewId="0">
      <selection activeCell="J41" sqref="J41"/>
    </sheetView>
  </sheetViews>
  <sheetFormatPr defaultRowHeight="15"/>
  <cols>
    <col min="1" max="16384" width="9.140625" style="46"/>
  </cols>
  <sheetData>
    <row r="2" spans="1:15">
      <c r="B2" s="67" t="s">
        <v>290</v>
      </c>
      <c r="D2" s="69" t="s">
        <v>291</v>
      </c>
    </row>
    <row r="4" spans="1:15">
      <c r="B4" s="67" t="s">
        <v>289</v>
      </c>
    </row>
    <row r="5" spans="1:15">
      <c r="J5" s="67" t="s">
        <v>292</v>
      </c>
    </row>
    <row r="7" spans="1:15" s="67" customFormat="1"/>
    <row r="8" spans="1:15" s="67" customFormat="1"/>
    <row r="9" spans="1:15" s="67" customFormat="1">
      <c r="B9" s="67" t="s">
        <v>288</v>
      </c>
      <c r="C9" s="70" t="s">
        <v>333</v>
      </c>
    </row>
    <row r="10" spans="1:15">
      <c r="B10" s="46">
        <v>19</v>
      </c>
      <c r="C10" s="46">
        <v>18</v>
      </c>
      <c r="D10" s="46">
        <v>17</v>
      </c>
      <c r="E10" s="46">
        <v>16</v>
      </c>
      <c r="F10" s="46">
        <v>15</v>
      </c>
      <c r="G10" s="46">
        <v>14</v>
      </c>
      <c r="H10" s="46">
        <v>13</v>
      </c>
      <c r="J10" s="46">
        <v>18.5</v>
      </c>
      <c r="K10" s="46">
        <v>17.5</v>
      </c>
      <c r="L10" s="46">
        <v>16.5</v>
      </c>
      <c r="M10" s="46">
        <v>15.5</v>
      </c>
      <c r="N10" s="46">
        <v>14.5</v>
      </c>
      <c r="O10" s="46">
        <v>13.5</v>
      </c>
    </row>
    <row r="11" spans="1:15">
      <c r="A11" s="68" t="s">
        <v>284</v>
      </c>
      <c r="B11" s="46">
        <v>110.31166666666684</v>
      </c>
      <c r="C11" s="46">
        <v>100.324166666666</v>
      </c>
      <c r="D11" s="46">
        <v>90.799166666666622</v>
      </c>
      <c r="E11" s="46">
        <v>81.74583333333365</v>
      </c>
      <c r="F11" s="46">
        <v>73.182499999999578</v>
      </c>
      <c r="G11" s="46">
        <v>65.059166666666698</v>
      </c>
      <c r="H11" s="46">
        <v>57.374166666666781</v>
      </c>
      <c r="J11" s="46">
        <f t="shared" ref="J11:O14" si="0">B11/C11</f>
        <v>1.0995522846771806</v>
      </c>
      <c r="K11" s="46">
        <f t="shared" si="0"/>
        <v>1.1049018438128035</v>
      </c>
      <c r="L11" s="46">
        <f t="shared" si="0"/>
        <v>1.1107497833732558</v>
      </c>
      <c r="M11" s="46">
        <f t="shared" si="0"/>
        <v>1.1170134025666536</v>
      </c>
      <c r="N11" s="46">
        <f t="shared" si="0"/>
        <v>1.1248607037184031</v>
      </c>
      <c r="O11" s="46">
        <f t="shared" si="0"/>
        <v>1.1339453005853373</v>
      </c>
    </row>
    <row r="12" spans="1:15">
      <c r="A12" s="68" t="s">
        <v>285</v>
      </c>
      <c r="B12" s="46">
        <v>119.4425</v>
      </c>
      <c r="C12" s="46">
        <v>109.74333333333337</v>
      </c>
      <c r="D12" s="46">
        <v>100.50000000000014</v>
      </c>
      <c r="E12" s="46">
        <v>91.760833333333451</v>
      </c>
      <c r="F12" s="46">
        <v>83.436666666666625</v>
      </c>
      <c r="G12" s="46">
        <v>75.462500000000077</v>
      </c>
      <c r="H12" s="46">
        <v>67.881666666666817</v>
      </c>
      <c r="J12" s="46">
        <f t="shared" si="0"/>
        <v>1.0883804635057555</v>
      </c>
      <c r="K12" s="46">
        <f t="shared" si="0"/>
        <v>1.0919734660033156</v>
      </c>
      <c r="L12" s="46">
        <f t="shared" si="0"/>
        <v>1.0952385276942778</v>
      </c>
      <c r="M12" s="46">
        <f t="shared" si="0"/>
        <v>1.0997662898006491</v>
      </c>
      <c r="N12" s="46">
        <f t="shared" si="0"/>
        <v>1.1056705869361145</v>
      </c>
      <c r="O12" s="46">
        <f t="shared" si="0"/>
        <v>1.1116771833337411</v>
      </c>
    </row>
    <row r="13" spans="1:15">
      <c r="A13" s="68" t="s">
        <v>286</v>
      </c>
      <c r="B13" s="46">
        <v>110.76333333333355</v>
      </c>
      <c r="C13" s="46">
        <v>101.11333333333347</v>
      </c>
      <c r="D13" s="46">
        <v>91.98333333333315</v>
      </c>
      <c r="E13" s="46">
        <v>83.349166666666605</v>
      </c>
      <c r="F13" s="46">
        <v>75.189166666666694</v>
      </c>
      <c r="G13" s="46">
        <v>67.497499999999974</v>
      </c>
      <c r="H13" s="46">
        <v>60.370833333333223</v>
      </c>
      <c r="J13" s="46">
        <f t="shared" si="0"/>
        <v>1.0954374629129036</v>
      </c>
      <c r="K13" s="46">
        <f t="shared" si="0"/>
        <v>1.0992571117956189</v>
      </c>
      <c r="L13" s="46">
        <f t="shared" si="0"/>
        <v>1.1035903178396091</v>
      </c>
      <c r="M13" s="46">
        <f t="shared" si="0"/>
        <v>1.1085262726234928</v>
      </c>
      <c r="N13" s="46">
        <f t="shared" si="0"/>
        <v>1.1139548378335009</v>
      </c>
      <c r="O13" s="46">
        <f t="shared" si="0"/>
        <v>1.1180481744771913</v>
      </c>
    </row>
    <row r="14" spans="1:15">
      <c r="A14" s="68" t="s">
        <v>287</v>
      </c>
      <c r="B14" s="46">
        <v>106.70250000000017</v>
      </c>
      <c r="C14" s="46">
        <v>97.349166666666576</v>
      </c>
      <c r="D14" s="46">
        <v>88.359999999999857</v>
      </c>
      <c r="E14" s="46">
        <v>79.829166666666893</v>
      </c>
      <c r="F14" s="46">
        <v>71.632499999999936</v>
      </c>
      <c r="G14" s="46">
        <v>63.771666666666441</v>
      </c>
      <c r="H14" s="46">
        <v>56.354166666666764</v>
      </c>
      <c r="J14" s="46">
        <f t="shared" si="0"/>
        <v>1.0960802609164633</v>
      </c>
      <c r="K14" s="46">
        <f t="shared" si="0"/>
        <v>1.1017334389618236</v>
      </c>
      <c r="L14" s="46">
        <f t="shared" si="0"/>
        <v>1.106863615011217</v>
      </c>
      <c r="M14" s="46">
        <f t="shared" si="0"/>
        <v>1.1144266452611169</v>
      </c>
      <c r="N14" s="46">
        <f t="shared" si="0"/>
        <v>1.1232652954551423</v>
      </c>
      <c r="O14" s="46">
        <f t="shared" si="0"/>
        <v>1.1316229205175541</v>
      </c>
    </row>
    <row r="28" spans="1:11">
      <c r="K28" s="110" t="s">
        <v>348</v>
      </c>
    </row>
    <row r="29" spans="1:11">
      <c r="B29" s="46">
        <v>19</v>
      </c>
      <c r="C29" s="46">
        <v>18</v>
      </c>
      <c r="D29" s="46">
        <v>17</v>
      </c>
      <c r="E29" s="70">
        <v>16</v>
      </c>
      <c r="F29" s="70">
        <v>15</v>
      </c>
      <c r="G29" s="70">
        <v>14</v>
      </c>
      <c r="H29" s="70">
        <v>13</v>
      </c>
      <c r="I29" s="70">
        <v>12</v>
      </c>
      <c r="J29" s="70">
        <v>11</v>
      </c>
      <c r="K29" s="110"/>
    </row>
    <row r="30" spans="1:11">
      <c r="A30" s="68" t="s">
        <v>284</v>
      </c>
      <c r="B30" s="91">
        <v>3254.5200000000009</v>
      </c>
      <c r="C30" s="92">
        <v>2951.6800000000021</v>
      </c>
      <c r="D30" s="93">
        <v>2666.1200000000017</v>
      </c>
      <c r="E30" s="94">
        <v>2403.7400000000016</v>
      </c>
      <c r="F30" s="95">
        <v>2151.8000000000011</v>
      </c>
      <c r="G30" s="96">
        <v>1907.2600000000002</v>
      </c>
      <c r="H30" s="97">
        <v>1671.96</v>
      </c>
      <c r="I30" s="98">
        <v>1452.3999999999999</v>
      </c>
      <c r="J30" s="99">
        <v>1244.5800000000002</v>
      </c>
      <c r="K30" s="110">
        <f t="shared" ref="K30:K33" si="1">G30/G$34</f>
        <v>0.97151352463269081</v>
      </c>
    </row>
    <row r="31" spans="1:11">
      <c r="A31" s="68" t="s">
        <v>285</v>
      </c>
      <c r="B31" s="91">
        <v>3500.8800000000015</v>
      </c>
      <c r="C31" s="92">
        <v>3214.7600000000011</v>
      </c>
      <c r="D31" s="93">
        <v>2949.360000000001</v>
      </c>
      <c r="E31" s="94">
        <v>2699.5000000000009</v>
      </c>
      <c r="F31" s="95">
        <v>2462.5000000000009</v>
      </c>
      <c r="G31" s="96">
        <v>2231.0399999999995</v>
      </c>
      <c r="H31" s="97">
        <v>2003.9999999999986</v>
      </c>
      <c r="I31" s="98">
        <v>1785.0599999999988</v>
      </c>
      <c r="J31" s="99">
        <v>1571.5199999999991</v>
      </c>
      <c r="K31" s="110">
        <f t="shared" si="1"/>
        <v>1.1364394649898377</v>
      </c>
    </row>
    <row r="32" spans="1:11">
      <c r="A32" s="68" t="s">
        <v>286</v>
      </c>
      <c r="B32" s="91">
        <v>3259.4799999999987</v>
      </c>
      <c r="C32" s="92">
        <v>2967.3999999999987</v>
      </c>
      <c r="D32" s="93">
        <v>2694.4799999999977</v>
      </c>
      <c r="E32" s="94">
        <v>2436.0799999999972</v>
      </c>
      <c r="F32" s="95">
        <v>2192.0199999999977</v>
      </c>
      <c r="G32" s="96">
        <v>1969.2799999999997</v>
      </c>
      <c r="H32" s="97">
        <v>1763.44</v>
      </c>
      <c r="I32" s="98">
        <v>1567.1999999999998</v>
      </c>
      <c r="J32" s="99">
        <v>1382.72</v>
      </c>
      <c r="K32" s="110">
        <f t="shared" si="1"/>
        <v>1.0031050584548855</v>
      </c>
    </row>
    <row r="33" spans="1:11">
      <c r="A33" s="68" t="s">
        <v>287</v>
      </c>
      <c r="B33" s="91">
        <v>3147.3199999999993</v>
      </c>
      <c r="C33" s="92">
        <v>2867.7799999999993</v>
      </c>
      <c r="D33" s="93">
        <v>2602.2599999999984</v>
      </c>
      <c r="E33" s="94">
        <v>2349.2999999999988</v>
      </c>
      <c r="F33" s="95">
        <v>2103.0599999999995</v>
      </c>
      <c r="G33" s="96">
        <v>1867.4199999999998</v>
      </c>
      <c r="H33" s="97">
        <v>1641.2199999999993</v>
      </c>
      <c r="I33" s="98">
        <v>1423.0799999999995</v>
      </c>
      <c r="J33" s="99">
        <v>1214.8800000000001</v>
      </c>
      <c r="K33" s="110">
        <f t="shared" si="1"/>
        <v>0.95121996275787213</v>
      </c>
    </row>
    <row r="34" spans="1:11">
      <c r="A34" s="100" t="s">
        <v>334</v>
      </c>
      <c r="B34" s="109">
        <v>3255.3046172268009</v>
      </c>
      <c r="C34" s="108">
        <v>2966.776953062682</v>
      </c>
      <c r="D34" s="107">
        <v>2695.0307626808662</v>
      </c>
      <c r="E34" s="106">
        <v>2437.9668128934427</v>
      </c>
      <c r="F34" s="105">
        <v>2194.2891999748199</v>
      </c>
      <c r="G34" s="104">
        <v>1963.1841983065503</v>
      </c>
      <c r="H34" s="103">
        <v>1744.0752291226295</v>
      </c>
      <c r="I34" s="102">
        <v>1536.5756692133973</v>
      </c>
      <c r="J34" s="101">
        <v>1340.3890628278771</v>
      </c>
      <c r="K34" s="110">
        <f>G34/G$34</f>
        <v>1</v>
      </c>
    </row>
    <row r="35" spans="1:11">
      <c r="A35" s="110" t="s">
        <v>335</v>
      </c>
      <c r="B35" s="91">
        <v>1266.72</v>
      </c>
      <c r="C35" s="92">
        <v>1142</v>
      </c>
      <c r="D35" s="93">
        <v>1021.5000000000002</v>
      </c>
      <c r="E35" s="94">
        <v>903.60000000000014</v>
      </c>
      <c r="F35" s="95">
        <v>793.18000000000006</v>
      </c>
      <c r="G35" s="96">
        <v>690.16000000000008</v>
      </c>
      <c r="H35" s="97">
        <v>596.54000000000008</v>
      </c>
      <c r="I35" s="98">
        <v>508.78</v>
      </c>
      <c r="J35" s="99">
        <v>430.78</v>
      </c>
      <c r="K35" s="110">
        <f t="shared" ref="K35" si="2">G35/G$34</f>
        <v>0.35155132187562155</v>
      </c>
    </row>
    <row r="36" spans="1:11">
      <c r="B36" s="109" t="s">
        <v>343</v>
      </c>
    </row>
    <row r="37" spans="1:11">
      <c r="A37" s="70"/>
      <c r="B37" s="46">
        <f>B30/B11</f>
        <v>29.502953752247382</v>
      </c>
      <c r="C37" s="109">
        <f t="shared" ref="C37:H37" si="3">C30/C11</f>
        <v>29.421425545523476</v>
      </c>
      <c r="D37" s="109">
        <f t="shared" si="3"/>
        <v>29.362824548683484</v>
      </c>
      <c r="E37" s="109">
        <f t="shared" si="3"/>
        <v>29.405046128752645</v>
      </c>
      <c r="F37" s="109">
        <f t="shared" si="3"/>
        <v>29.403204317972378</v>
      </c>
      <c r="G37" s="109">
        <f t="shared" si="3"/>
        <v>29.315776664830722</v>
      </c>
      <c r="H37" s="109">
        <f t="shared" si="3"/>
        <v>29.141338291042658</v>
      </c>
      <c r="I37" s="109"/>
    </row>
    <row r="38" spans="1:11">
      <c r="A38" s="100"/>
      <c r="B38" s="109">
        <f t="shared" ref="B38:H38" si="4">B31/B12</f>
        <v>29.310170165560848</v>
      </c>
      <c r="C38" s="109">
        <f t="shared" si="4"/>
        <v>29.29344227439784</v>
      </c>
      <c r="D38" s="109">
        <f t="shared" si="4"/>
        <v>29.346865671641758</v>
      </c>
      <c r="E38" s="109">
        <f t="shared" si="4"/>
        <v>29.418869706574128</v>
      </c>
      <c r="F38" s="109">
        <f t="shared" si="4"/>
        <v>29.513403379809063</v>
      </c>
      <c r="G38" s="109">
        <f t="shared" si="4"/>
        <v>29.56488322014242</v>
      </c>
      <c r="H38" s="109">
        <f t="shared" si="4"/>
        <v>29.521962238208562</v>
      </c>
      <c r="I38" s="109"/>
    </row>
    <row r="39" spans="1:11">
      <c r="A39" s="100"/>
      <c r="B39" s="109">
        <f t="shared" ref="B39:H39" si="5">B32/B13</f>
        <v>29.427427849167827</v>
      </c>
      <c r="C39" s="109">
        <f t="shared" si="5"/>
        <v>29.347267093030869</v>
      </c>
      <c r="D39" s="109">
        <f t="shared" si="5"/>
        <v>29.293132813915598</v>
      </c>
      <c r="E39" s="109">
        <f t="shared" si="5"/>
        <v>29.227406792709374</v>
      </c>
      <c r="F39" s="109">
        <f t="shared" si="5"/>
        <v>29.153401975018525</v>
      </c>
      <c r="G39" s="109">
        <f t="shared" si="5"/>
        <v>29.175599096262832</v>
      </c>
      <c r="H39" s="109">
        <f t="shared" si="5"/>
        <v>29.210131824142508</v>
      </c>
      <c r="I39" s="109"/>
    </row>
    <row r="40" spans="1:11">
      <c r="A40" s="100"/>
      <c r="B40" s="109">
        <f t="shared" ref="B40:H40" si="6">B33/B14</f>
        <v>29.496216114898846</v>
      </c>
      <c r="C40" s="109">
        <f t="shared" si="6"/>
        <v>29.458701067463362</v>
      </c>
      <c r="D40" s="109">
        <f t="shared" si="6"/>
        <v>29.450656405613429</v>
      </c>
      <c r="E40" s="109">
        <f t="shared" si="6"/>
        <v>29.429093376480928</v>
      </c>
      <c r="F40" s="109">
        <f t="shared" si="6"/>
        <v>29.359019997905996</v>
      </c>
      <c r="G40" s="109">
        <f t="shared" si="6"/>
        <v>29.282910383399209</v>
      </c>
      <c r="H40" s="109">
        <f t="shared" si="6"/>
        <v>29.123312384473135</v>
      </c>
      <c r="I40" s="109"/>
    </row>
    <row r="41" spans="1:11">
      <c r="A41" s="100"/>
      <c r="B41" s="109"/>
      <c r="C41" s="109"/>
      <c r="D41" s="109"/>
      <c r="E41" s="109"/>
      <c r="F41" s="109"/>
      <c r="G41" s="109"/>
      <c r="H41" s="109"/>
      <c r="I41" s="109"/>
    </row>
    <row r="42" spans="1:11">
      <c r="B42" s="109"/>
      <c r="C42" s="109"/>
      <c r="D42" s="109"/>
      <c r="E42" s="109"/>
      <c r="F42" s="109"/>
      <c r="G42" s="109"/>
      <c r="H42" s="109"/>
      <c r="I42" s="109"/>
    </row>
    <row r="43" spans="1:11">
      <c r="B43" s="109"/>
      <c r="C43" s="109"/>
      <c r="D43" s="109"/>
      <c r="E43" s="109"/>
      <c r="F43" s="109"/>
      <c r="G43" s="109"/>
      <c r="H43" s="109"/>
      <c r="I43" s="109"/>
    </row>
  </sheetData>
  <hyperlinks>
    <hyperlink ref="D2" r:id="rId1"/>
  </hyperlinks>
  <pageMargins left="0.7" right="0.7" top="0.78740157499999996" bottom="0.78740157499999996" header="0.3" footer="0.3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Q3009"/>
  <sheetViews>
    <sheetView workbookViewId="0">
      <pane ySplit="11" topLeftCell="A2645" activePane="bottomLeft" state="frozen"/>
      <selection pane="bottomLeft" activeCell="K2656" sqref="K2656"/>
    </sheetView>
  </sheetViews>
  <sheetFormatPr defaultRowHeight="15"/>
  <cols>
    <col min="1" max="1" width="9.140625" style="141"/>
    <col min="2" max="2" width="13.7109375" style="138" customWidth="1"/>
    <col min="3" max="4" width="9.140625" style="138"/>
    <col min="5" max="5" width="12" style="138" customWidth="1"/>
    <col min="6" max="6" width="10.140625" style="138" bestFit="1" customWidth="1"/>
    <col min="13" max="13" width="12" customWidth="1"/>
  </cols>
  <sheetData>
    <row r="1" spans="1:17">
      <c r="A1" s="141">
        <v>1</v>
      </c>
      <c r="B1" s="141" t="s">
        <v>423</v>
      </c>
      <c r="C1" s="147" t="s">
        <v>424</v>
      </c>
      <c r="H1" s="141"/>
      <c r="I1" s="152"/>
      <c r="J1" s="144">
        <v>0.25</v>
      </c>
      <c r="K1" s="141" t="s">
        <v>8</v>
      </c>
      <c r="M1" s="144">
        <v>5</v>
      </c>
      <c r="N1" s="144" t="s">
        <v>1004</v>
      </c>
      <c r="O1" s="138"/>
      <c r="P1" s="138"/>
    </row>
    <row r="2" spans="1:17">
      <c r="A2" s="141">
        <v>2</v>
      </c>
      <c r="B2" s="142">
        <v>42095</v>
      </c>
      <c r="C2" s="148">
        <v>5</v>
      </c>
      <c r="D2" s="138">
        <v>5</v>
      </c>
      <c r="H2" s="141"/>
      <c r="I2" s="141"/>
      <c r="J2" s="3">
        <v>4.5</v>
      </c>
      <c r="K2" s="141" t="s">
        <v>5</v>
      </c>
      <c r="M2" s="146" t="s">
        <v>291</v>
      </c>
      <c r="N2" s="141"/>
      <c r="O2" s="138"/>
      <c r="P2" s="138"/>
    </row>
    <row r="3" spans="1:17">
      <c r="A3" s="141">
        <v>3</v>
      </c>
      <c r="B3" s="142">
        <v>42096</v>
      </c>
      <c r="C3" s="149">
        <v>2.5</v>
      </c>
      <c r="D3" s="141">
        <v>7.5</v>
      </c>
      <c r="H3" s="141"/>
      <c r="I3" s="141"/>
      <c r="J3" s="3">
        <v>17</v>
      </c>
      <c r="K3" s="141" t="s">
        <v>6</v>
      </c>
      <c r="M3" s="146" t="s">
        <v>1005</v>
      </c>
      <c r="N3" s="141"/>
      <c r="O3" s="138"/>
      <c r="P3" s="138"/>
    </row>
    <row r="4" spans="1:17">
      <c r="A4" s="141">
        <v>4</v>
      </c>
      <c r="B4" s="142">
        <v>42097</v>
      </c>
      <c r="C4" s="149">
        <v>4</v>
      </c>
      <c r="D4" s="141">
        <v>11.5</v>
      </c>
      <c r="H4" s="141"/>
      <c r="I4" s="141"/>
      <c r="J4" s="141" t="s">
        <v>2</v>
      </c>
      <c r="K4" s="141" t="s">
        <v>34</v>
      </c>
      <c r="L4" s="142">
        <v>42064</v>
      </c>
      <c r="M4" s="141"/>
      <c r="N4" s="141" t="s">
        <v>1006</v>
      </c>
      <c r="O4" s="138"/>
      <c r="P4" s="138"/>
    </row>
    <row r="5" spans="1:17">
      <c r="A5" s="141">
        <v>5</v>
      </c>
      <c r="B5" s="142">
        <v>42098</v>
      </c>
      <c r="C5" s="149">
        <v>2.6999999999999993</v>
      </c>
      <c r="D5" s="141">
        <v>14.2</v>
      </c>
      <c r="H5" s="141"/>
      <c r="I5" s="141"/>
      <c r="J5" s="141">
        <f t="shared" ref="J5" si="0">J$1+(IF(J$3-$C5&gt;0,J$3-$C5,0)*J$2/30)</f>
        <v>2.3950000000000005</v>
      </c>
      <c r="K5" s="141"/>
      <c r="L5" s="142">
        <v>42095</v>
      </c>
      <c r="M5" s="145" t="s">
        <v>1007</v>
      </c>
      <c r="N5" s="141">
        <v>0.1</v>
      </c>
      <c r="O5" s="138"/>
      <c r="P5" s="138"/>
    </row>
    <row r="6" spans="1:17">
      <c r="A6" s="141">
        <v>6</v>
      </c>
      <c r="B6" s="142">
        <v>42099</v>
      </c>
      <c r="C6" s="149">
        <v>3.1000000000000014</v>
      </c>
      <c r="D6" s="141">
        <v>17.3</v>
      </c>
      <c r="H6" s="141"/>
      <c r="I6" s="141"/>
      <c r="J6" s="141">
        <f>J$1+(IF(J$3-$C6&gt;0,J$3-$C6,0)*J$2/30)</f>
        <v>2.335</v>
      </c>
      <c r="K6" s="141">
        <f>K5+J6*24</f>
        <v>56.04</v>
      </c>
      <c r="L6" s="142">
        <v>42125</v>
      </c>
      <c r="M6" s="150">
        <v>280</v>
      </c>
      <c r="N6" s="141">
        <v>2.2999999999999998</v>
      </c>
      <c r="O6" s="138"/>
      <c r="P6" s="138"/>
      <c r="Q6" s="115" t="e">
        <f>(U6-U5)/(S6-S5)</f>
        <v>#DIV/0!</v>
      </c>
    </row>
    <row r="7" spans="1:17">
      <c r="A7" s="141">
        <v>7</v>
      </c>
      <c r="B7" s="142">
        <v>42100</v>
      </c>
      <c r="C7" s="149">
        <v>2</v>
      </c>
      <c r="D7" s="141">
        <v>19.3</v>
      </c>
      <c r="H7" s="141"/>
      <c r="I7" s="141"/>
      <c r="J7" s="141">
        <f t="shared" ref="J7:J70" si="1">J$1+(IF(J$3-$C7&gt;0,J$3-$C7,0)*J$2/30)</f>
        <v>2.5</v>
      </c>
      <c r="K7" s="141">
        <f t="shared" ref="K7:K70" si="2">K6+J7*24</f>
        <v>116.03999999999999</v>
      </c>
      <c r="L7" s="141"/>
      <c r="M7" s="151">
        <v>0</v>
      </c>
      <c r="N7" s="143">
        <v>5.4446049707011452</v>
      </c>
      <c r="O7" s="138"/>
      <c r="P7" s="138"/>
      <c r="Q7" s="141"/>
    </row>
    <row r="8" spans="1:17">
      <c r="A8" s="141">
        <v>8</v>
      </c>
      <c r="B8" s="142">
        <v>42101</v>
      </c>
      <c r="C8" s="149">
        <v>5.1999999999999993</v>
      </c>
      <c r="D8" s="141">
        <v>24.5</v>
      </c>
      <c r="E8" s="141"/>
      <c r="F8" s="141"/>
      <c r="G8" s="141"/>
      <c r="H8" s="141"/>
      <c r="J8" s="141">
        <f t="shared" si="1"/>
        <v>2.02</v>
      </c>
      <c r="K8" s="141">
        <f t="shared" si="2"/>
        <v>164.51999999999998</v>
      </c>
      <c r="M8" s="141" t="s">
        <v>1008</v>
      </c>
      <c r="N8" s="143">
        <v>10.232208029197089</v>
      </c>
      <c r="O8" s="138"/>
      <c r="P8" s="138"/>
    </row>
    <row r="9" spans="1:17">
      <c r="A9" s="141">
        <v>9</v>
      </c>
      <c r="B9" s="142">
        <v>42102</v>
      </c>
      <c r="C9" s="149">
        <v>7.1000000000000014</v>
      </c>
      <c r="D9" s="141">
        <v>31.6</v>
      </c>
      <c r="E9" s="141"/>
      <c r="F9" s="141"/>
      <c r="G9" s="141"/>
      <c r="H9" s="141"/>
      <c r="I9" s="141"/>
      <c r="J9" s="141">
        <f t="shared" si="1"/>
        <v>1.7349999999999999</v>
      </c>
      <c r="K9" s="141">
        <f t="shared" si="2"/>
        <v>206.15999999999997</v>
      </c>
      <c r="L9">
        <v>44256</v>
      </c>
      <c r="M9" s="141">
        <v>-0.5035714285715065</v>
      </c>
      <c r="N9" s="141"/>
      <c r="O9">
        <v>44256</v>
      </c>
      <c r="P9">
        <v>2</v>
      </c>
      <c r="Q9">
        <v>22678.39999999998</v>
      </c>
    </row>
    <row r="10" spans="1:17">
      <c r="A10" s="141">
        <v>10</v>
      </c>
      <c r="B10" s="142">
        <v>42103</v>
      </c>
      <c r="C10" s="149">
        <v>8.8000000000000007</v>
      </c>
      <c r="D10" s="141">
        <v>40.400000000000006</v>
      </c>
      <c r="E10" s="141"/>
      <c r="F10" s="141"/>
      <c r="G10" s="141"/>
      <c r="H10" s="141"/>
      <c r="I10" s="141"/>
      <c r="J10" s="141">
        <f t="shared" si="1"/>
        <v>1.48</v>
      </c>
      <c r="K10" s="141">
        <f t="shared" si="2"/>
        <v>241.67999999999995</v>
      </c>
      <c r="L10">
        <v>44287</v>
      </c>
      <c r="M10">
        <v>4.6000000000003052</v>
      </c>
      <c r="N10" s="141"/>
      <c r="O10">
        <v>44287</v>
      </c>
      <c r="P10">
        <v>14</v>
      </c>
      <c r="Q10">
        <v>22820.999999999989</v>
      </c>
    </row>
    <row r="11" spans="1:17">
      <c r="A11" s="141">
        <v>11</v>
      </c>
      <c r="B11" s="142">
        <v>42104</v>
      </c>
      <c r="C11" s="149">
        <v>10</v>
      </c>
      <c r="D11" s="141">
        <v>50.400000000000006</v>
      </c>
      <c r="E11" s="141"/>
      <c r="F11" s="141"/>
      <c r="G11" s="141"/>
      <c r="H11" s="141"/>
      <c r="J11" s="141">
        <f t="shared" si="1"/>
        <v>1.3</v>
      </c>
      <c r="K11" s="141">
        <f t="shared" si="2"/>
        <v>272.87999999999994</v>
      </c>
      <c r="L11">
        <v>44317</v>
      </c>
      <c r="M11">
        <v>6.4666666666667876</v>
      </c>
      <c r="O11">
        <v>44317</v>
      </c>
      <c r="P11">
        <v>9.8000000000000007</v>
      </c>
      <c r="Q11">
        <v>23014.999999999993</v>
      </c>
    </row>
    <row r="12" spans="1:17">
      <c r="A12" s="141">
        <v>12</v>
      </c>
      <c r="B12" s="142">
        <v>42105</v>
      </c>
      <c r="C12" s="149">
        <v>13.399999999999999</v>
      </c>
      <c r="D12" s="141">
        <v>63.800000000000004</v>
      </c>
      <c r="E12" s="141"/>
      <c r="F12" s="141"/>
      <c r="G12" s="141"/>
      <c r="H12" s="141"/>
      <c r="J12" s="141">
        <f t="shared" si="1"/>
        <v>0.79000000000000026</v>
      </c>
      <c r="K12" s="141">
        <f t="shared" si="2"/>
        <v>291.83999999999992</v>
      </c>
      <c r="L12">
        <v>44348</v>
      </c>
      <c r="M12">
        <v>11.780645161290463</v>
      </c>
      <c r="O12">
        <v>44348</v>
      </c>
      <c r="P12">
        <v>14.7</v>
      </c>
      <c r="Q12">
        <v>23380.199999999997</v>
      </c>
    </row>
    <row r="13" spans="1:17">
      <c r="A13" s="141">
        <v>13</v>
      </c>
      <c r="B13" s="142">
        <v>42106</v>
      </c>
      <c r="C13" s="149">
        <v>12.2</v>
      </c>
      <c r="D13" s="141">
        <v>76</v>
      </c>
      <c r="E13" s="141"/>
      <c r="F13" s="141"/>
      <c r="G13" s="141"/>
      <c r="H13" s="141"/>
      <c r="J13" s="141">
        <f t="shared" si="1"/>
        <v>0.97000000000000008</v>
      </c>
      <c r="K13" s="141">
        <f t="shared" si="2"/>
        <v>315.11999999999989</v>
      </c>
      <c r="L13">
        <v>44378</v>
      </c>
      <c r="M13">
        <v>20.053333333333285</v>
      </c>
      <c r="O13">
        <v>44378</v>
      </c>
      <c r="P13">
        <v>16.600000000000001</v>
      </c>
      <c r="Q13">
        <v>23981.799999999996</v>
      </c>
    </row>
    <row r="14" spans="1:17">
      <c r="A14" s="141">
        <v>14</v>
      </c>
      <c r="B14" s="142">
        <v>42107</v>
      </c>
      <c r="C14" s="149">
        <v>9.8999999999999986</v>
      </c>
      <c r="D14" s="141">
        <v>85.9</v>
      </c>
      <c r="E14" s="141"/>
      <c r="F14" s="141"/>
      <c r="G14" s="141"/>
      <c r="H14" s="141"/>
      <c r="J14" s="141">
        <f t="shared" si="1"/>
        <v>1.3150000000000002</v>
      </c>
      <c r="K14" s="141">
        <f t="shared" si="2"/>
        <v>346.67999999999989</v>
      </c>
      <c r="L14">
        <v>44409</v>
      </c>
      <c r="M14">
        <v>19.754838709677465</v>
      </c>
      <c r="O14">
        <v>44409</v>
      </c>
      <c r="P14">
        <v>15.8</v>
      </c>
      <c r="Q14">
        <v>24594.199999999997</v>
      </c>
    </row>
    <row r="15" spans="1:17">
      <c r="A15" s="141">
        <v>15</v>
      </c>
      <c r="B15" s="142">
        <v>42108</v>
      </c>
      <c r="C15" s="149">
        <v>9.6000000000000014</v>
      </c>
      <c r="D15" s="141">
        <v>95.5</v>
      </c>
      <c r="E15" s="141"/>
      <c r="F15" s="141"/>
      <c r="G15" s="141"/>
      <c r="H15" s="141"/>
      <c r="J15" s="141">
        <f t="shared" si="1"/>
        <v>1.3599999999999999</v>
      </c>
      <c r="K15" s="141">
        <f t="shared" si="2"/>
        <v>379.31999999999988</v>
      </c>
      <c r="L15">
        <v>44440</v>
      </c>
      <c r="M15">
        <v>17.37741935483885</v>
      </c>
      <c r="O15">
        <v>44440</v>
      </c>
      <c r="P15">
        <v>15.6</v>
      </c>
      <c r="Q15">
        <v>25132.9</v>
      </c>
    </row>
    <row r="16" spans="1:17">
      <c r="A16" s="141">
        <v>16</v>
      </c>
      <c r="B16" s="142">
        <v>42109</v>
      </c>
      <c r="C16" s="149">
        <v>16.100000000000001</v>
      </c>
      <c r="D16" s="141">
        <v>111.6</v>
      </c>
      <c r="E16" s="141"/>
      <c r="F16" s="141"/>
      <c r="G16" s="141"/>
      <c r="H16" s="141"/>
      <c r="J16" s="141">
        <f t="shared" si="1"/>
        <v>0.38499999999999979</v>
      </c>
      <c r="K16" s="141">
        <f t="shared" si="2"/>
        <v>388.55999999999989</v>
      </c>
      <c r="L16">
        <v>44470</v>
      </c>
      <c r="M16">
        <v>15.863333333333625</v>
      </c>
      <c r="O16">
        <v>44470</v>
      </c>
      <c r="P16">
        <v>10.5</v>
      </c>
      <c r="Q16">
        <v>25608.80000000001</v>
      </c>
    </row>
    <row r="17" spans="1:17">
      <c r="A17" s="141">
        <v>17</v>
      </c>
      <c r="B17" s="142">
        <v>42110</v>
      </c>
      <c r="C17" s="149">
        <v>14.5</v>
      </c>
      <c r="D17" s="141">
        <v>126.1</v>
      </c>
      <c r="E17" s="141"/>
      <c r="F17" s="141"/>
      <c r="G17" s="141"/>
      <c r="H17" s="141"/>
      <c r="J17" s="141">
        <f t="shared" si="1"/>
        <v>0.625</v>
      </c>
      <c r="K17" s="141">
        <f t="shared" si="2"/>
        <v>403.55999999999989</v>
      </c>
      <c r="L17">
        <v>44501</v>
      </c>
      <c r="M17">
        <v>10.130769230769566</v>
      </c>
      <c r="O17">
        <v>44483</v>
      </c>
      <c r="P17">
        <v>6.8000000000000007</v>
      </c>
      <c r="Q17">
        <v>25740.500000000015</v>
      </c>
    </row>
    <row r="18" spans="1:17">
      <c r="A18" s="141">
        <v>18</v>
      </c>
      <c r="B18" s="142">
        <v>42111</v>
      </c>
      <c r="C18" s="149">
        <v>8.6999999999999993</v>
      </c>
      <c r="D18" s="141">
        <v>134.79999999999998</v>
      </c>
      <c r="E18" s="141"/>
      <c r="F18" s="141"/>
      <c r="G18" s="141"/>
      <c r="H18" s="141"/>
      <c r="J18" s="141">
        <f t="shared" si="1"/>
        <v>1.4950000000000001</v>
      </c>
      <c r="K18" s="141">
        <f t="shared" si="2"/>
        <v>439.43999999999988</v>
      </c>
    </row>
    <row r="19" spans="1:17">
      <c r="A19" s="141">
        <v>19</v>
      </c>
      <c r="B19" s="142">
        <v>42112</v>
      </c>
      <c r="C19" s="149">
        <v>5.8999999999999986</v>
      </c>
      <c r="D19" s="141">
        <v>140.69999999999999</v>
      </c>
      <c r="E19" s="141"/>
      <c r="F19" s="141"/>
      <c r="G19" s="141"/>
      <c r="H19" s="141"/>
      <c r="J19" s="141">
        <f t="shared" si="1"/>
        <v>1.915</v>
      </c>
      <c r="K19" s="141">
        <f t="shared" si="2"/>
        <v>485.39999999999986</v>
      </c>
    </row>
    <row r="20" spans="1:17">
      <c r="A20" s="141">
        <v>20</v>
      </c>
      <c r="B20" s="142">
        <v>42113</v>
      </c>
      <c r="C20" s="149">
        <v>7.8000000000000007</v>
      </c>
      <c r="D20" s="141">
        <v>148.5</v>
      </c>
      <c r="E20" s="141"/>
      <c r="F20" s="141"/>
      <c r="G20" s="141"/>
      <c r="H20" s="141"/>
      <c r="J20" s="141">
        <f t="shared" si="1"/>
        <v>1.63</v>
      </c>
      <c r="K20" s="141">
        <f t="shared" si="2"/>
        <v>524.51999999999987</v>
      </c>
    </row>
    <row r="21" spans="1:17">
      <c r="A21" s="141">
        <v>21</v>
      </c>
      <c r="B21" s="142">
        <v>42114</v>
      </c>
      <c r="C21" s="149">
        <v>10.899999999999999</v>
      </c>
      <c r="D21" s="141">
        <v>159.4</v>
      </c>
      <c r="E21" s="141"/>
      <c r="F21" s="141"/>
      <c r="G21" s="141"/>
      <c r="H21" s="141"/>
      <c r="J21" s="141">
        <f t="shared" si="1"/>
        <v>1.1650000000000003</v>
      </c>
      <c r="K21" s="141">
        <f t="shared" si="2"/>
        <v>552.4799999999999</v>
      </c>
    </row>
    <row r="22" spans="1:17">
      <c r="A22" s="141">
        <v>22</v>
      </c>
      <c r="B22" s="142">
        <v>42115</v>
      </c>
      <c r="C22" s="149">
        <v>13</v>
      </c>
      <c r="D22" s="141">
        <v>172.4</v>
      </c>
      <c r="E22" s="141"/>
      <c r="F22" s="141"/>
      <c r="G22" s="141"/>
      <c r="H22" s="141"/>
      <c r="J22" s="141">
        <f t="shared" si="1"/>
        <v>0.85</v>
      </c>
      <c r="K22" s="141">
        <f t="shared" si="2"/>
        <v>572.87999999999988</v>
      </c>
    </row>
    <row r="23" spans="1:17">
      <c r="A23" s="141">
        <v>23</v>
      </c>
      <c r="B23" s="142">
        <v>42116</v>
      </c>
      <c r="C23" s="149">
        <v>9.6999999999999993</v>
      </c>
      <c r="D23" s="141">
        <v>182.1</v>
      </c>
      <c r="E23" s="141"/>
      <c r="F23" s="141"/>
      <c r="G23" s="141"/>
      <c r="H23" s="141"/>
      <c r="J23" s="141">
        <f t="shared" si="1"/>
        <v>1.345</v>
      </c>
      <c r="K23" s="141">
        <f t="shared" si="2"/>
        <v>605.15999999999985</v>
      </c>
    </row>
    <row r="24" spans="1:17">
      <c r="A24" s="141">
        <v>24</v>
      </c>
      <c r="B24" s="142">
        <v>42117</v>
      </c>
      <c r="C24" s="149">
        <v>11.100000000000001</v>
      </c>
      <c r="D24" s="141">
        <v>193.2</v>
      </c>
      <c r="E24" s="141"/>
      <c r="F24" s="141"/>
      <c r="G24" s="141"/>
      <c r="H24" s="141"/>
      <c r="J24" s="141">
        <f t="shared" si="1"/>
        <v>1.1349999999999998</v>
      </c>
      <c r="K24" s="141">
        <f t="shared" si="2"/>
        <v>632.39999999999986</v>
      </c>
    </row>
    <row r="25" spans="1:17">
      <c r="A25" s="141">
        <v>25</v>
      </c>
      <c r="B25" s="142">
        <v>42118</v>
      </c>
      <c r="C25" s="149">
        <v>13.2</v>
      </c>
      <c r="D25" s="141">
        <v>206.39999999999998</v>
      </c>
      <c r="E25" s="141"/>
      <c r="F25" s="141"/>
      <c r="G25" s="141"/>
      <c r="H25" s="141"/>
      <c r="J25" s="141">
        <f t="shared" si="1"/>
        <v>0.82000000000000006</v>
      </c>
      <c r="K25" s="141">
        <f t="shared" si="2"/>
        <v>652.07999999999981</v>
      </c>
    </row>
    <row r="26" spans="1:17">
      <c r="A26" s="141">
        <v>26</v>
      </c>
      <c r="B26" s="142">
        <v>42119</v>
      </c>
      <c r="C26" s="149">
        <v>14.7</v>
      </c>
      <c r="D26" s="141">
        <v>221.09999999999997</v>
      </c>
      <c r="E26" s="141"/>
      <c r="F26" s="141"/>
      <c r="G26" s="141"/>
      <c r="H26" s="141"/>
      <c r="J26" s="141">
        <f t="shared" si="1"/>
        <v>0.59500000000000008</v>
      </c>
      <c r="K26" s="141">
        <f t="shared" si="2"/>
        <v>666.35999999999979</v>
      </c>
    </row>
    <row r="27" spans="1:17">
      <c r="A27" s="141">
        <v>27</v>
      </c>
      <c r="B27" s="142">
        <v>42120</v>
      </c>
      <c r="C27" s="149">
        <v>14.2</v>
      </c>
      <c r="D27" s="141">
        <v>235.29999999999995</v>
      </c>
      <c r="E27" s="141"/>
      <c r="F27" s="141"/>
      <c r="G27" s="141"/>
      <c r="H27" s="141"/>
      <c r="J27" s="141">
        <f t="shared" si="1"/>
        <v>0.67000000000000015</v>
      </c>
      <c r="K27" s="141">
        <f t="shared" si="2"/>
        <v>682.43999999999983</v>
      </c>
    </row>
    <row r="28" spans="1:17">
      <c r="A28" s="141">
        <v>28</v>
      </c>
      <c r="B28" s="142">
        <v>42121</v>
      </c>
      <c r="C28" s="149">
        <v>14.6</v>
      </c>
      <c r="D28" s="141">
        <v>249.89999999999995</v>
      </c>
      <c r="E28" s="141"/>
      <c r="F28" s="141"/>
      <c r="G28" s="141"/>
      <c r="H28" s="141"/>
      <c r="J28" s="141">
        <f t="shared" si="1"/>
        <v>0.6100000000000001</v>
      </c>
      <c r="K28" s="141">
        <f t="shared" si="2"/>
        <v>697.07999999999981</v>
      </c>
    </row>
    <row r="29" spans="1:17">
      <c r="A29" s="141">
        <v>29</v>
      </c>
      <c r="B29" s="142">
        <v>42122</v>
      </c>
      <c r="C29" s="149">
        <v>6.8000000000000007</v>
      </c>
      <c r="D29" s="141">
        <v>256.69999999999993</v>
      </c>
      <c r="E29" s="141"/>
      <c r="F29" s="141"/>
      <c r="G29" s="141"/>
      <c r="H29" s="141"/>
      <c r="J29" s="141">
        <f t="shared" si="1"/>
        <v>1.78</v>
      </c>
      <c r="K29" s="141">
        <f t="shared" si="2"/>
        <v>739.79999999999984</v>
      </c>
    </row>
    <row r="30" spans="1:17">
      <c r="A30" s="141">
        <v>30</v>
      </c>
      <c r="B30" s="142">
        <v>42123</v>
      </c>
      <c r="C30" s="149">
        <v>7.3999999999999986</v>
      </c>
      <c r="D30" s="141">
        <v>264.09999999999991</v>
      </c>
      <c r="E30" s="141"/>
      <c r="F30" s="141"/>
      <c r="G30" s="141"/>
      <c r="H30" s="141"/>
      <c r="J30" s="141">
        <f t="shared" si="1"/>
        <v>1.6900000000000002</v>
      </c>
      <c r="K30" s="141">
        <f t="shared" si="2"/>
        <v>780.3599999999999</v>
      </c>
    </row>
    <row r="31" spans="1:17">
      <c r="A31" s="141">
        <v>31</v>
      </c>
      <c r="B31" s="142">
        <v>42124</v>
      </c>
      <c r="C31" s="149">
        <v>8.8999999999999986</v>
      </c>
      <c r="D31" s="141">
        <v>272.99999999999989</v>
      </c>
      <c r="E31" s="141"/>
      <c r="F31" s="141"/>
      <c r="G31" s="141"/>
      <c r="H31" s="141"/>
      <c r="J31" s="141">
        <f t="shared" si="1"/>
        <v>1.4650000000000001</v>
      </c>
      <c r="K31" s="141">
        <f t="shared" si="2"/>
        <v>815.51999999999987</v>
      </c>
    </row>
    <row r="32" spans="1:17">
      <c r="A32" s="141">
        <v>32</v>
      </c>
      <c r="B32" s="142">
        <v>42125</v>
      </c>
      <c r="C32" s="149">
        <v>9.5</v>
      </c>
      <c r="D32" s="141">
        <v>282.49999999999989</v>
      </c>
      <c r="E32" s="141"/>
      <c r="F32" s="141"/>
      <c r="G32" s="141"/>
      <c r="H32" s="141"/>
      <c r="J32" s="141">
        <f t="shared" si="1"/>
        <v>1.375</v>
      </c>
      <c r="K32" s="141">
        <f t="shared" si="2"/>
        <v>848.51999999999987</v>
      </c>
    </row>
    <row r="33" spans="1:11">
      <c r="A33" s="141">
        <v>33</v>
      </c>
      <c r="B33" s="142">
        <v>42126</v>
      </c>
      <c r="C33" s="149">
        <v>10.5</v>
      </c>
      <c r="D33" s="141">
        <v>292.99999999999989</v>
      </c>
      <c r="E33" s="141"/>
      <c r="F33" s="141"/>
      <c r="G33" s="141"/>
      <c r="H33" s="141"/>
      <c r="J33" s="141">
        <f t="shared" si="1"/>
        <v>1.2250000000000001</v>
      </c>
      <c r="K33" s="141">
        <f t="shared" si="2"/>
        <v>877.91999999999985</v>
      </c>
    </row>
    <row r="34" spans="1:11">
      <c r="A34" s="141">
        <v>34</v>
      </c>
      <c r="B34" s="142">
        <v>42127</v>
      </c>
      <c r="C34" s="149">
        <v>11.3</v>
      </c>
      <c r="D34" s="141">
        <v>304.2999999999999</v>
      </c>
      <c r="E34" s="141"/>
      <c r="F34" s="141"/>
      <c r="G34" s="141"/>
      <c r="H34" s="141"/>
      <c r="J34" s="141">
        <f t="shared" si="1"/>
        <v>1.105</v>
      </c>
      <c r="K34" s="141">
        <f t="shared" si="2"/>
        <v>904.43999999999983</v>
      </c>
    </row>
    <row r="35" spans="1:11">
      <c r="A35" s="141">
        <v>35</v>
      </c>
      <c r="B35" s="142">
        <v>42128</v>
      </c>
      <c r="C35" s="149">
        <v>15.8</v>
      </c>
      <c r="D35" s="141">
        <v>320.09999999999991</v>
      </c>
      <c r="E35" s="141"/>
      <c r="F35" s="141"/>
      <c r="G35" s="141"/>
      <c r="H35" s="141"/>
      <c r="J35" s="141">
        <f t="shared" si="1"/>
        <v>0.42999999999999988</v>
      </c>
      <c r="K35" s="141">
        <f t="shared" si="2"/>
        <v>914.75999999999988</v>
      </c>
    </row>
    <row r="36" spans="1:11">
      <c r="A36" s="141">
        <v>36</v>
      </c>
      <c r="B36" s="142">
        <v>42129</v>
      </c>
      <c r="C36" s="149">
        <v>18.5</v>
      </c>
      <c r="D36" s="141">
        <v>338.59999999999991</v>
      </c>
      <c r="E36" s="141"/>
      <c r="F36" s="141"/>
      <c r="G36" s="141"/>
      <c r="H36" s="141"/>
      <c r="J36" s="141">
        <f t="shared" si="1"/>
        <v>0.25</v>
      </c>
      <c r="K36" s="141">
        <f t="shared" si="2"/>
        <v>920.75999999999988</v>
      </c>
    </row>
    <row r="37" spans="1:11">
      <c r="A37" s="141">
        <v>37</v>
      </c>
      <c r="B37" s="142">
        <v>42130</v>
      </c>
      <c r="C37" s="149">
        <v>14.4</v>
      </c>
      <c r="D37" s="141">
        <v>352.99999999999989</v>
      </c>
      <c r="E37" s="141"/>
      <c r="F37" s="141"/>
      <c r="G37" s="141"/>
      <c r="H37" s="141"/>
      <c r="J37" s="141">
        <f t="shared" si="1"/>
        <v>0.6399999999999999</v>
      </c>
      <c r="K37" s="141">
        <f t="shared" si="2"/>
        <v>936.11999999999989</v>
      </c>
    </row>
    <row r="38" spans="1:11">
      <c r="A38" s="141">
        <v>38</v>
      </c>
      <c r="B38" s="142">
        <v>42131</v>
      </c>
      <c r="C38" s="149">
        <v>13.5</v>
      </c>
      <c r="D38" s="141">
        <v>366.49999999999989</v>
      </c>
      <c r="E38" s="141"/>
      <c r="F38" s="141"/>
      <c r="G38" s="141"/>
      <c r="H38" s="141"/>
      <c r="J38" s="141">
        <f t="shared" si="1"/>
        <v>0.77500000000000002</v>
      </c>
      <c r="K38" s="141">
        <f t="shared" si="2"/>
        <v>954.71999999999991</v>
      </c>
    </row>
    <row r="39" spans="1:11">
      <c r="A39" s="141">
        <v>39</v>
      </c>
      <c r="B39" s="142">
        <v>42132</v>
      </c>
      <c r="C39" s="149">
        <v>12.7</v>
      </c>
      <c r="D39" s="141">
        <v>379.19999999999987</v>
      </c>
      <c r="E39" s="141"/>
      <c r="F39" s="141"/>
      <c r="G39" s="141"/>
      <c r="H39" s="141"/>
      <c r="J39" s="141">
        <f t="shared" si="1"/>
        <v>0.89500000000000002</v>
      </c>
      <c r="K39" s="141">
        <f t="shared" si="2"/>
        <v>976.19999999999993</v>
      </c>
    </row>
    <row r="40" spans="1:11">
      <c r="A40" s="141">
        <v>40</v>
      </c>
      <c r="B40" s="142">
        <v>42133</v>
      </c>
      <c r="C40" s="149">
        <v>13.600000000000001</v>
      </c>
      <c r="D40" s="141">
        <v>392.7999999999999</v>
      </c>
      <c r="E40" s="141"/>
      <c r="F40" s="141"/>
      <c r="G40" s="141"/>
      <c r="H40" s="141"/>
      <c r="J40" s="141">
        <f t="shared" si="1"/>
        <v>0.75999999999999979</v>
      </c>
      <c r="K40" s="141">
        <f t="shared" si="2"/>
        <v>994.43999999999994</v>
      </c>
    </row>
    <row r="41" spans="1:11">
      <c r="A41" s="141">
        <v>41</v>
      </c>
      <c r="B41" s="142">
        <v>42134</v>
      </c>
      <c r="C41" s="149">
        <v>13.600000000000001</v>
      </c>
      <c r="D41" s="141">
        <v>406.39999999999992</v>
      </c>
      <c r="E41" s="141"/>
      <c r="F41" s="141"/>
      <c r="G41" s="141"/>
      <c r="H41" s="141"/>
      <c r="J41" s="141">
        <f t="shared" si="1"/>
        <v>0.75999999999999979</v>
      </c>
      <c r="K41" s="141">
        <f t="shared" si="2"/>
        <v>1012.68</v>
      </c>
    </row>
    <row r="42" spans="1:11">
      <c r="A42" s="141">
        <v>42</v>
      </c>
      <c r="B42" s="142">
        <v>42135</v>
      </c>
      <c r="C42" s="149">
        <v>12.100000000000001</v>
      </c>
      <c r="D42" s="141">
        <v>418.49999999999994</v>
      </c>
      <c r="E42" s="141"/>
      <c r="F42" s="141"/>
      <c r="G42" s="141"/>
      <c r="H42" s="141"/>
      <c r="J42" s="141">
        <f t="shared" si="1"/>
        <v>0.98499999999999976</v>
      </c>
      <c r="K42" s="141">
        <f t="shared" si="2"/>
        <v>1036.32</v>
      </c>
    </row>
    <row r="43" spans="1:11">
      <c r="A43" s="141">
        <v>43</v>
      </c>
      <c r="B43" s="142">
        <v>42136</v>
      </c>
      <c r="C43" s="149">
        <v>16.8</v>
      </c>
      <c r="D43" s="141">
        <v>435.29999999999995</v>
      </c>
      <c r="E43" s="141"/>
      <c r="F43" s="141"/>
      <c r="G43" s="141"/>
      <c r="H43" s="141"/>
      <c r="J43" s="141">
        <f t="shared" si="1"/>
        <v>0.27999999999999992</v>
      </c>
      <c r="K43" s="141">
        <f t="shared" si="2"/>
        <v>1043.04</v>
      </c>
    </row>
    <row r="44" spans="1:11">
      <c r="A44" s="141">
        <v>44</v>
      </c>
      <c r="B44" s="142">
        <v>42137</v>
      </c>
      <c r="C44" s="149">
        <v>14.6</v>
      </c>
      <c r="D44" s="141">
        <v>449.9</v>
      </c>
      <c r="E44" s="141"/>
      <c r="F44" s="141"/>
      <c r="G44" s="141"/>
      <c r="H44" s="141"/>
      <c r="J44" s="141">
        <f t="shared" si="1"/>
        <v>0.6100000000000001</v>
      </c>
      <c r="K44" s="141">
        <f t="shared" si="2"/>
        <v>1057.68</v>
      </c>
    </row>
    <row r="45" spans="1:11">
      <c r="A45" s="141">
        <v>45</v>
      </c>
      <c r="B45" s="142">
        <v>42138</v>
      </c>
      <c r="C45" s="149">
        <v>12</v>
      </c>
      <c r="D45" s="141">
        <v>461.9</v>
      </c>
      <c r="E45" s="141"/>
      <c r="F45" s="141"/>
      <c r="G45" s="141"/>
      <c r="H45" s="141"/>
      <c r="J45" s="141">
        <f t="shared" si="1"/>
        <v>1</v>
      </c>
      <c r="K45" s="141">
        <f t="shared" si="2"/>
        <v>1081.68</v>
      </c>
    </row>
    <row r="46" spans="1:11">
      <c r="A46" s="141">
        <v>46</v>
      </c>
      <c r="B46" s="142">
        <v>42139</v>
      </c>
      <c r="C46" s="149">
        <v>11.100000000000001</v>
      </c>
      <c r="D46" s="141">
        <v>473</v>
      </c>
      <c r="E46" s="141"/>
      <c r="F46" s="141"/>
      <c r="G46" s="141"/>
      <c r="H46" s="141"/>
      <c r="J46" s="141">
        <f t="shared" si="1"/>
        <v>1.1349999999999998</v>
      </c>
      <c r="K46" s="141">
        <f t="shared" si="2"/>
        <v>1108.92</v>
      </c>
    </row>
    <row r="47" spans="1:11">
      <c r="A47" s="141">
        <v>47</v>
      </c>
      <c r="B47" s="142">
        <v>42140</v>
      </c>
      <c r="C47" s="149">
        <v>14.1</v>
      </c>
      <c r="D47" s="141">
        <v>487.1</v>
      </c>
      <c r="E47" s="141"/>
      <c r="F47" s="141"/>
      <c r="G47" s="141"/>
      <c r="H47" s="141"/>
      <c r="J47" s="141">
        <f t="shared" si="1"/>
        <v>0.68500000000000005</v>
      </c>
      <c r="K47" s="141">
        <f t="shared" si="2"/>
        <v>1125.3600000000001</v>
      </c>
    </row>
    <row r="48" spans="1:11">
      <c r="A48" s="141">
        <v>48</v>
      </c>
      <c r="B48" s="142">
        <v>42141</v>
      </c>
      <c r="C48" s="149">
        <v>13</v>
      </c>
      <c r="D48" s="141">
        <v>500.1</v>
      </c>
      <c r="E48" s="141"/>
      <c r="F48" s="141"/>
      <c r="G48" s="141"/>
      <c r="H48" s="141"/>
      <c r="J48" s="141">
        <f t="shared" si="1"/>
        <v>0.85</v>
      </c>
      <c r="K48" s="141">
        <f t="shared" si="2"/>
        <v>1145.7600000000002</v>
      </c>
    </row>
    <row r="49" spans="1:11">
      <c r="A49" s="141">
        <v>49</v>
      </c>
      <c r="B49" s="142">
        <v>42142</v>
      </c>
      <c r="C49" s="149">
        <v>14.4</v>
      </c>
      <c r="D49" s="141">
        <v>514.5</v>
      </c>
      <c r="E49" s="141"/>
      <c r="F49" s="141"/>
      <c r="G49" s="141"/>
      <c r="H49" s="141"/>
      <c r="J49" s="141">
        <f t="shared" si="1"/>
        <v>0.6399999999999999</v>
      </c>
      <c r="K49" s="141">
        <f t="shared" si="2"/>
        <v>1161.1200000000001</v>
      </c>
    </row>
    <row r="50" spans="1:11">
      <c r="A50" s="141">
        <v>50</v>
      </c>
      <c r="B50" s="142">
        <v>42143</v>
      </c>
      <c r="C50" s="149">
        <v>15.1</v>
      </c>
      <c r="D50" s="141">
        <v>529.6</v>
      </c>
      <c r="E50" s="141"/>
      <c r="F50" s="141"/>
      <c r="G50" s="141"/>
      <c r="H50" s="141"/>
      <c r="J50" s="141">
        <f t="shared" si="1"/>
        <v>0.53500000000000003</v>
      </c>
      <c r="K50" s="141">
        <f t="shared" si="2"/>
        <v>1173.96</v>
      </c>
    </row>
    <row r="51" spans="1:11">
      <c r="A51" s="141">
        <v>51</v>
      </c>
      <c r="B51" s="142">
        <v>42144</v>
      </c>
      <c r="C51" s="149">
        <v>11.2</v>
      </c>
      <c r="D51" s="141">
        <v>540.80000000000007</v>
      </c>
      <c r="E51" s="141"/>
      <c r="F51" s="141"/>
      <c r="G51" s="141"/>
      <c r="H51" s="141"/>
      <c r="J51" s="141">
        <f t="shared" si="1"/>
        <v>1.1200000000000001</v>
      </c>
      <c r="K51" s="141">
        <f t="shared" si="2"/>
        <v>1200.8400000000001</v>
      </c>
    </row>
    <row r="52" spans="1:11">
      <c r="A52" s="141">
        <v>52</v>
      </c>
      <c r="B52" s="142">
        <v>42145</v>
      </c>
      <c r="C52" s="149">
        <v>11.5</v>
      </c>
      <c r="D52" s="141">
        <v>552.30000000000007</v>
      </c>
      <c r="E52" s="141"/>
      <c r="F52" s="141"/>
      <c r="G52" s="141"/>
      <c r="H52" s="141"/>
      <c r="J52" s="141">
        <f t="shared" si="1"/>
        <v>1.075</v>
      </c>
      <c r="K52" s="141">
        <f t="shared" si="2"/>
        <v>1226.6400000000001</v>
      </c>
    </row>
    <row r="53" spans="1:11">
      <c r="A53" s="141">
        <v>53</v>
      </c>
      <c r="B53" s="142">
        <v>42146</v>
      </c>
      <c r="C53" s="149">
        <v>12.7</v>
      </c>
      <c r="D53" s="141">
        <v>565.00000000000011</v>
      </c>
      <c r="E53" s="141"/>
      <c r="F53" s="141"/>
      <c r="G53" s="141"/>
      <c r="H53" s="141"/>
      <c r="J53" s="141">
        <f t="shared" si="1"/>
        <v>0.89500000000000002</v>
      </c>
      <c r="K53" s="141">
        <f t="shared" si="2"/>
        <v>1248.1200000000001</v>
      </c>
    </row>
    <row r="54" spans="1:11">
      <c r="A54" s="141">
        <v>54</v>
      </c>
      <c r="B54" s="142">
        <v>42147</v>
      </c>
      <c r="C54" s="149">
        <v>14.1</v>
      </c>
      <c r="D54" s="141">
        <v>579.10000000000014</v>
      </c>
      <c r="E54" s="141"/>
      <c r="F54" s="141"/>
      <c r="G54" s="141"/>
      <c r="H54" s="141"/>
      <c r="J54" s="141">
        <f t="shared" si="1"/>
        <v>0.68500000000000005</v>
      </c>
      <c r="K54" s="141">
        <f t="shared" si="2"/>
        <v>1264.5600000000002</v>
      </c>
    </row>
    <row r="55" spans="1:11">
      <c r="A55" s="141">
        <v>55</v>
      </c>
      <c r="B55" s="142">
        <v>42148</v>
      </c>
      <c r="C55" s="149">
        <v>14.7</v>
      </c>
      <c r="D55" s="141">
        <v>593.80000000000018</v>
      </c>
      <c r="E55" s="141"/>
      <c r="F55" s="141"/>
      <c r="G55" s="141"/>
      <c r="H55" s="141"/>
      <c r="J55" s="141">
        <f t="shared" si="1"/>
        <v>0.59500000000000008</v>
      </c>
      <c r="K55" s="141">
        <f t="shared" si="2"/>
        <v>1278.8400000000001</v>
      </c>
    </row>
    <row r="56" spans="1:11">
      <c r="A56" s="141">
        <v>56</v>
      </c>
      <c r="B56" s="142">
        <v>42149</v>
      </c>
      <c r="C56" s="149">
        <v>15.5</v>
      </c>
      <c r="D56" s="141">
        <v>609.30000000000018</v>
      </c>
      <c r="E56" s="141"/>
      <c r="F56" s="141"/>
      <c r="G56" s="141"/>
      <c r="H56" s="141"/>
      <c r="J56" s="141">
        <f t="shared" si="1"/>
        <v>0.47499999999999998</v>
      </c>
      <c r="K56" s="141">
        <f t="shared" si="2"/>
        <v>1290.2400000000002</v>
      </c>
    </row>
    <row r="57" spans="1:11">
      <c r="A57" s="141">
        <v>57</v>
      </c>
      <c r="B57" s="142">
        <v>42150</v>
      </c>
      <c r="C57" s="149">
        <v>13</v>
      </c>
      <c r="D57" s="141">
        <v>622.30000000000018</v>
      </c>
      <c r="E57" s="141"/>
      <c r="F57" s="141"/>
      <c r="G57" s="141"/>
      <c r="H57" s="141"/>
      <c r="J57" s="141">
        <f t="shared" si="1"/>
        <v>0.85</v>
      </c>
      <c r="K57" s="141">
        <f t="shared" si="2"/>
        <v>1310.6400000000003</v>
      </c>
    </row>
    <row r="58" spans="1:11">
      <c r="A58" s="141">
        <v>58</v>
      </c>
      <c r="B58" s="142">
        <v>42151</v>
      </c>
      <c r="C58" s="149">
        <v>10.600000000000001</v>
      </c>
      <c r="D58" s="141">
        <v>632.9000000000002</v>
      </c>
      <c r="E58" s="141"/>
      <c r="F58" s="141"/>
      <c r="G58" s="141"/>
      <c r="H58" s="141"/>
      <c r="J58" s="141">
        <f t="shared" si="1"/>
        <v>1.2099999999999997</v>
      </c>
      <c r="K58" s="141">
        <f t="shared" si="2"/>
        <v>1339.6800000000003</v>
      </c>
    </row>
    <row r="59" spans="1:11">
      <c r="A59" s="141">
        <v>59</v>
      </c>
      <c r="B59" s="142">
        <v>42152</v>
      </c>
      <c r="C59" s="149">
        <v>13.3</v>
      </c>
      <c r="D59" s="141">
        <v>646.20000000000016</v>
      </c>
      <c r="E59" s="141"/>
      <c r="F59" s="141"/>
      <c r="G59" s="141"/>
      <c r="H59" s="141"/>
      <c r="J59" s="141">
        <f t="shared" si="1"/>
        <v>0.80499999999999994</v>
      </c>
      <c r="K59" s="141">
        <f t="shared" si="2"/>
        <v>1359.0000000000002</v>
      </c>
    </row>
    <row r="60" spans="1:11">
      <c r="A60" s="141">
        <v>60</v>
      </c>
      <c r="B60" s="142">
        <v>42153</v>
      </c>
      <c r="C60" s="149">
        <v>15.8</v>
      </c>
      <c r="D60" s="141">
        <v>662.00000000000011</v>
      </c>
      <c r="E60" s="141"/>
      <c r="F60" s="141"/>
      <c r="G60" s="141"/>
      <c r="H60" s="141"/>
      <c r="J60" s="141">
        <f t="shared" si="1"/>
        <v>0.42999999999999988</v>
      </c>
      <c r="K60" s="141">
        <f t="shared" si="2"/>
        <v>1369.3200000000002</v>
      </c>
    </row>
    <row r="61" spans="1:11">
      <c r="A61" s="141">
        <v>61</v>
      </c>
      <c r="B61" s="142">
        <v>42154</v>
      </c>
      <c r="C61" s="149">
        <v>14.1</v>
      </c>
      <c r="D61" s="141">
        <v>676.10000000000014</v>
      </c>
      <c r="E61" s="141"/>
      <c r="F61" s="141"/>
      <c r="G61" s="141"/>
      <c r="H61" s="141"/>
      <c r="J61" s="141">
        <f t="shared" si="1"/>
        <v>0.68500000000000005</v>
      </c>
      <c r="K61" s="141">
        <f t="shared" si="2"/>
        <v>1385.7600000000002</v>
      </c>
    </row>
    <row r="62" spans="1:11">
      <c r="A62" s="141">
        <v>62</v>
      </c>
      <c r="B62" s="142">
        <v>42155</v>
      </c>
      <c r="C62" s="149">
        <v>14.4</v>
      </c>
      <c r="D62" s="141">
        <v>690.50000000000011</v>
      </c>
      <c r="E62" s="141"/>
      <c r="F62" s="141"/>
      <c r="G62" s="141"/>
      <c r="H62" s="141"/>
      <c r="J62" s="141">
        <f t="shared" si="1"/>
        <v>0.6399999999999999</v>
      </c>
      <c r="K62" s="141">
        <f t="shared" si="2"/>
        <v>1401.1200000000001</v>
      </c>
    </row>
    <row r="63" spans="1:11">
      <c r="A63" s="141">
        <v>63</v>
      </c>
      <c r="B63" s="142">
        <v>42156</v>
      </c>
      <c r="C63" s="149">
        <v>18.2</v>
      </c>
      <c r="D63" s="141">
        <v>708.70000000000016</v>
      </c>
      <c r="E63" s="141"/>
      <c r="F63" s="141"/>
      <c r="G63" s="141"/>
      <c r="H63" s="141"/>
      <c r="J63" s="141">
        <f t="shared" si="1"/>
        <v>0.25</v>
      </c>
      <c r="K63" s="141">
        <f t="shared" si="2"/>
        <v>1407.1200000000001</v>
      </c>
    </row>
    <row r="64" spans="1:11">
      <c r="A64" s="141">
        <v>64</v>
      </c>
      <c r="B64" s="142">
        <v>42157</v>
      </c>
      <c r="C64" s="149">
        <v>19.7</v>
      </c>
      <c r="D64" s="141">
        <v>728.4000000000002</v>
      </c>
      <c r="E64" s="141"/>
      <c r="F64" s="141"/>
      <c r="G64" s="141"/>
      <c r="H64" s="141"/>
      <c r="J64" s="141">
        <f t="shared" si="1"/>
        <v>0.25</v>
      </c>
      <c r="K64" s="141">
        <f t="shared" si="2"/>
        <v>1413.1200000000001</v>
      </c>
    </row>
    <row r="65" spans="1:11">
      <c r="A65" s="141">
        <v>65</v>
      </c>
      <c r="B65" s="142">
        <v>42158</v>
      </c>
      <c r="C65" s="149">
        <v>22.4</v>
      </c>
      <c r="D65" s="141">
        <v>750.80000000000018</v>
      </c>
      <c r="E65" s="141"/>
      <c r="F65" s="141"/>
      <c r="G65" s="141"/>
      <c r="H65" s="141"/>
      <c r="J65" s="141">
        <f t="shared" si="1"/>
        <v>0.25</v>
      </c>
      <c r="K65" s="141">
        <f t="shared" si="2"/>
        <v>1419.1200000000001</v>
      </c>
    </row>
    <row r="66" spans="1:11">
      <c r="A66" s="141">
        <v>66</v>
      </c>
      <c r="B66" s="142">
        <v>42159</v>
      </c>
      <c r="C66" s="149">
        <v>17.899999999999999</v>
      </c>
      <c r="D66" s="141">
        <v>768.70000000000016</v>
      </c>
      <c r="E66" s="141"/>
      <c r="F66" s="141"/>
      <c r="G66" s="141"/>
      <c r="H66" s="141"/>
      <c r="J66" s="141">
        <f t="shared" si="1"/>
        <v>0.25</v>
      </c>
      <c r="K66" s="141">
        <f t="shared" si="2"/>
        <v>1425.1200000000001</v>
      </c>
    </row>
    <row r="67" spans="1:11">
      <c r="A67" s="141">
        <v>67</v>
      </c>
      <c r="B67" s="142">
        <v>42160</v>
      </c>
      <c r="C67" s="149">
        <v>19.3</v>
      </c>
      <c r="D67" s="141">
        <v>788.00000000000011</v>
      </c>
      <c r="E67" s="141"/>
      <c r="F67" s="141"/>
      <c r="G67" s="141"/>
      <c r="H67" s="141"/>
      <c r="J67" s="141">
        <f t="shared" si="1"/>
        <v>0.25</v>
      </c>
      <c r="K67" s="141">
        <f t="shared" si="2"/>
        <v>1431.1200000000001</v>
      </c>
    </row>
    <row r="68" spans="1:11">
      <c r="A68" s="141">
        <v>68</v>
      </c>
      <c r="B68" s="142">
        <v>42161</v>
      </c>
      <c r="C68" s="149">
        <v>22.6</v>
      </c>
      <c r="D68" s="141">
        <v>810.60000000000014</v>
      </c>
      <c r="E68" s="141"/>
      <c r="F68" s="141"/>
      <c r="G68" s="141"/>
      <c r="H68" s="141"/>
      <c r="J68" s="141">
        <f t="shared" si="1"/>
        <v>0.25</v>
      </c>
      <c r="K68" s="141">
        <f t="shared" si="2"/>
        <v>1437.1200000000001</v>
      </c>
    </row>
    <row r="69" spans="1:11">
      <c r="A69" s="141">
        <v>69</v>
      </c>
      <c r="B69" s="142">
        <v>42162</v>
      </c>
      <c r="C69" s="149">
        <v>19.399999999999999</v>
      </c>
      <c r="D69" s="141">
        <v>830.00000000000011</v>
      </c>
      <c r="E69" s="141"/>
      <c r="F69" s="141"/>
      <c r="G69" s="141"/>
      <c r="H69" s="141"/>
      <c r="J69" s="141">
        <f t="shared" si="1"/>
        <v>0.25</v>
      </c>
      <c r="K69" s="141">
        <f t="shared" si="2"/>
        <v>1443.1200000000001</v>
      </c>
    </row>
    <row r="70" spans="1:11">
      <c r="A70" s="141">
        <v>70</v>
      </c>
      <c r="B70" s="142">
        <v>42163</v>
      </c>
      <c r="C70" s="149">
        <v>15.2</v>
      </c>
      <c r="D70" s="141">
        <v>845.20000000000016</v>
      </c>
      <c r="E70" s="141"/>
      <c r="F70" s="141"/>
      <c r="G70" s="141"/>
      <c r="H70" s="141"/>
      <c r="J70" s="141">
        <f t="shared" si="1"/>
        <v>0.52000000000000013</v>
      </c>
      <c r="K70" s="141">
        <f t="shared" si="2"/>
        <v>1455.6000000000001</v>
      </c>
    </row>
    <row r="71" spans="1:11">
      <c r="A71" s="141">
        <v>71</v>
      </c>
      <c r="B71" s="142">
        <v>42164</v>
      </c>
      <c r="C71" s="149">
        <v>11.7</v>
      </c>
      <c r="D71" s="141">
        <v>856.9000000000002</v>
      </c>
      <c r="E71" s="141"/>
      <c r="F71" s="141"/>
      <c r="G71" s="141"/>
      <c r="H71" s="141"/>
      <c r="J71" s="141">
        <f t="shared" ref="J71:J134" si="3">J$1+(IF(J$3-$C71&gt;0,J$3-$C71,0)*J$2/30)</f>
        <v>1.0449999999999999</v>
      </c>
      <c r="K71" s="141">
        <f t="shared" ref="K71:K134" si="4">K70+J71*24</f>
        <v>1480.68</v>
      </c>
    </row>
    <row r="72" spans="1:11">
      <c r="A72" s="141">
        <v>72</v>
      </c>
      <c r="B72" s="142">
        <v>42165</v>
      </c>
      <c r="C72" s="149">
        <v>15.2</v>
      </c>
      <c r="D72" s="141">
        <v>872.10000000000025</v>
      </c>
      <c r="E72" s="141"/>
      <c r="F72" s="141"/>
      <c r="G72" s="141"/>
      <c r="H72" s="141"/>
      <c r="J72" s="141">
        <f t="shared" si="3"/>
        <v>0.52000000000000013</v>
      </c>
      <c r="K72" s="141">
        <f t="shared" si="4"/>
        <v>1493.16</v>
      </c>
    </row>
    <row r="73" spans="1:11">
      <c r="A73" s="141">
        <v>73</v>
      </c>
      <c r="B73" s="142">
        <v>42166</v>
      </c>
      <c r="C73" s="149">
        <v>17.7</v>
      </c>
      <c r="D73" s="141">
        <v>889.8000000000003</v>
      </c>
      <c r="E73" s="141"/>
      <c r="F73" s="141"/>
      <c r="G73" s="141"/>
      <c r="H73" s="141"/>
      <c r="J73" s="141">
        <f t="shared" si="3"/>
        <v>0.25</v>
      </c>
      <c r="K73" s="141">
        <f t="shared" si="4"/>
        <v>1499.16</v>
      </c>
    </row>
    <row r="74" spans="1:11">
      <c r="A74" s="141">
        <v>74</v>
      </c>
      <c r="B74" s="142">
        <v>42167</v>
      </c>
      <c r="C74" s="149">
        <v>21.2</v>
      </c>
      <c r="D74" s="141">
        <v>911.00000000000034</v>
      </c>
      <c r="E74" s="141"/>
      <c r="F74" s="141"/>
      <c r="G74" s="141"/>
      <c r="H74" s="141"/>
      <c r="J74" s="141">
        <f t="shared" si="3"/>
        <v>0.25</v>
      </c>
      <c r="K74" s="141">
        <f t="shared" si="4"/>
        <v>1505.16</v>
      </c>
    </row>
    <row r="75" spans="1:11">
      <c r="A75" s="141">
        <v>75</v>
      </c>
      <c r="B75" s="142">
        <v>42168</v>
      </c>
      <c r="C75" s="149">
        <v>20.8</v>
      </c>
      <c r="D75" s="141">
        <v>931.8000000000003</v>
      </c>
      <c r="E75" s="141"/>
      <c r="F75" s="141"/>
      <c r="G75" s="141"/>
      <c r="H75" s="141"/>
      <c r="J75" s="141">
        <f t="shared" si="3"/>
        <v>0.25</v>
      </c>
      <c r="K75" s="141">
        <f t="shared" si="4"/>
        <v>1511.16</v>
      </c>
    </row>
    <row r="76" spans="1:11">
      <c r="A76" s="141">
        <v>76</v>
      </c>
      <c r="B76" s="142">
        <v>42169</v>
      </c>
      <c r="C76" s="149">
        <v>20.100000000000001</v>
      </c>
      <c r="D76" s="141">
        <v>951.90000000000032</v>
      </c>
      <c r="E76" s="141"/>
      <c r="F76" s="141"/>
      <c r="G76" s="141"/>
      <c r="H76" s="141"/>
      <c r="J76" s="141">
        <f t="shared" si="3"/>
        <v>0.25</v>
      </c>
      <c r="K76" s="141">
        <f t="shared" si="4"/>
        <v>1517.16</v>
      </c>
    </row>
    <row r="77" spans="1:11">
      <c r="A77" s="141">
        <v>77</v>
      </c>
      <c r="B77" s="142">
        <v>42170</v>
      </c>
      <c r="C77" s="149">
        <v>16.899999999999999</v>
      </c>
      <c r="D77" s="141">
        <v>968.8000000000003</v>
      </c>
      <c r="E77" s="141"/>
      <c r="F77" s="141"/>
      <c r="G77" s="141"/>
      <c r="H77" s="141"/>
      <c r="J77" s="141">
        <f t="shared" si="3"/>
        <v>0.26500000000000024</v>
      </c>
      <c r="K77" s="141">
        <f t="shared" si="4"/>
        <v>1523.52</v>
      </c>
    </row>
    <row r="78" spans="1:11">
      <c r="A78" s="141">
        <v>78</v>
      </c>
      <c r="B78" s="142">
        <v>42171</v>
      </c>
      <c r="C78" s="149">
        <v>14.5</v>
      </c>
      <c r="D78" s="141">
        <v>983.3000000000003</v>
      </c>
      <c r="E78" s="141"/>
      <c r="F78" s="141"/>
      <c r="G78" s="141"/>
      <c r="H78" s="141"/>
      <c r="J78" s="141">
        <f t="shared" si="3"/>
        <v>0.625</v>
      </c>
      <c r="K78" s="141">
        <f t="shared" si="4"/>
        <v>1538.52</v>
      </c>
    </row>
    <row r="79" spans="1:11">
      <c r="A79" s="141">
        <v>79</v>
      </c>
      <c r="B79" s="142">
        <v>42172</v>
      </c>
      <c r="C79" s="149">
        <v>13.8</v>
      </c>
      <c r="D79" s="141">
        <v>997.10000000000025</v>
      </c>
      <c r="E79" s="141"/>
      <c r="F79" s="141"/>
      <c r="G79" s="141"/>
      <c r="H79" s="141"/>
      <c r="J79" s="141">
        <f t="shared" si="3"/>
        <v>0.72999999999999987</v>
      </c>
      <c r="K79" s="141">
        <f t="shared" si="4"/>
        <v>1556.04</v>
      </c>
    </row>
    <row r="80" spans="1:11">
      <c r="A80" s="141">
        <v>80</v>
      </c>
      <c r="B80" s="142">
        <v>42173</v>
      </c>
      <c r="C80" s="149">
        <v>15</v>
      </c>
      <c r="D80" s="141">
        <v>1012.1000000000003</v>
      </c>
      <c r="E80" s="141"/>
      <c r="F80" s="141"/>
      <c r="G80" s="141"/>
      <c r="H80" s="141"/>
      <c r="J80" s="141">
        <f t="shared" si="3"/>
        <v>0.55000000000000004</v>
      </c>
      <c r="K80" s="141">
        <f t="shared" si="4"/>
        <v>1569.24</v>
      </c>
    </row>
    <row r="81" spans="1:11">
      <c r="A81" s="141">
        <v>81</v>
      </c>
      <c r="B81" s="142">
        <v>42174</v>
      </c>
      <c r="C81" s="149">
        <v>13.3</v>
      </c>
      <c r="D81" s="141">
        <v>1025.4000000000003</v>
      </c>
      <c r="E81" s="141"/>
      <c r="F81" s="141"/>
      <c r="G81" s="141"/>
      <c r="H81" s="141"/>
      <c r="J81" s="141">
        <f t="shared" si="3"/>
        <v>0.80499999999999994</v>
      </c>
      <c r="K81" s="141">
        <f t="shared" si="4"/>
        <v>1588.56</v>
      </c>
    </row>
    <row r="82" spans="1:11">
      <c r="A82" s="141">
        <v>82</v>
      </c>
      <c r="B82" s="142">
        <v>42175</v>
      </c>
      <c r="C82" s="149">
        <v>12.3</v>
      </c>
      <c r="D82" s="141">
        <v>1037.7000000000003</v>
      </c>
      <c r="E82" s="141"/>
      <c r="F82" s="141"/>
      <c r="G82" s="141"/>
      <c r="H82" s="141"/>
      <c r="J82" s="141">
        <f t="shared" si="3"/>
        <v>0.95499999999999996</v>
      </c>
      <c r="K82" s="141">
        <f t="shared" si="4"/>
        <v>1611.48</v>
      </c>
    </row>
    <row r="83" spans="1:11">
      <c r="A83" s="141">
        <v>83</v>
      </c>
      <c r="B83" s="142">
        <v>42176</v>
      </c>
      <c r="C83" s="149">
        <v>13.7</v>
      </c>
      <c r="D83" s="141">
        <v>1051.4000000000003</v>
      </c>
      <c r="E83" s="141"/>
      <c r="F83" s="141"/>
      <c r="G83" s="141"/>
      <c r="H83" s="141"/>
      <c r="J83" s="141">
        <f t="shared" si="3"/>
        <v>0.74500000000000011</v>
      </c>
      <c r="K83" s="141">
        <f t="shared" si="4"/>
        <v>1629.3600000000001</v>
      </c>
    </row>
    <row r="84" spans="1:11">
      <c r="A84" s="141">
        <v>84</v>
      </c>
      <c r="B84" s="142">
        <v>42177</v>
      </c>
      <c r="C84" s="149">
        <v>14.6</v>
      </c>
      <c r="D84" s="141">
        <v>1066.0000000000002</v>
      </c>
      <c r="E84" s="141"/>
      <c r="F84" s="141"/>
      <c r="G84" s="141"/>
      <c r="H84" s="141"/>
      <c r="J84" s="141">
        <f t="shared" si="3"/>
        <v>0.6100000000000001</v>
      </c>
      <c r="K84" s="141">
        <f t="shared" si="4"/>
        <v>1644.0000000000002</v>
      </c>
    </row>
    <row r="85" spans="1:11">
      <c r="A85" s="141">
        <v>85</v>
      </c>
      <c r="B85" s="142">
        <v>42178</v>
      </c>
      <c r="C85" s="149">
        <v>12.899999999999999</v>
      </c>
      <c r="D85" s="141">
        <v>1078.9000000000003</v>
      </c>
      <c r="E85" s="141"/>
      <c r="F85" s="141"/>
      <c r="G85" s="141"/>
      <c r="H85" s="141"/>
      <c r="J85" s="141">
        <f t="shared" si="3"/>
        <v>0.86500000000000021</v>
      </c>
      <c r="K85" s="141">
        <f t="shared" si="4"/>
        <v>1664.7600000000002</v>
      </c>
    </row>
    <row r="86" spans="1:11">
      <c r="A86" s="141">
        <v>86</v>
      </c>
      <c r="B86" s="142">
        <v>42179</v>
      </c>
      <c r="C86" s="149">
        <v>13</v>
      </c>
      <c r="D86" s="141">
        <v>1091.9000000000003</v>
      </c>
      <c r="E86" s="141"/>
      <c r="F86" s="141"/>
      <c r="G86" s="141"/>
      <c r="H86" s="141"/>
      <c r="J86" s="141">
        <f t="shared" si="3"/>
        <v>0.85</v>
      </c>
      <c r="K86" s="141">
        <f t="shared" si="4"/>
        <v>1685.1600000000003</v>
      </c>
    </row>
    <row r="87" spans="1:11">
      <c r="A87" s="141">
        <v>87</v>
      </c>
      <c r="B87" s="142">
        <v>42180</v>
      </c>
      <c r="C87" s="149">
        <v>15.6</v>
      </c>
      <c r="D87" s="141">
        <v>1107.5000000000002</v>
      </c>
      <c r="E87" s="141"/>
      <c r="F87" s="141"/>
      <c r="G87" s="141"/>
      <c r="H87" s="141"/>
      <c r="J87" s="141">
        <f t="shared" si="3"/>
        <v>0.46000000000000008</v>
      </c>
      <c r="K87" s="141">
        <f t="shared" si="4"/>
        <v>1696.2000000000003</v>
      </c>
    </row>
    <row r="88" spans="1:11">
      <c r="A88" s="141">
        <v>88</v>
      </c>
      <c r="B88" s="142">
        <v>42181</v>
      </c>
      <c r="C88" s="149">
        <v>18</v>
      </c>
      <c r="D88" s="141">
        <v>1125.5000000000002</v>
      </c>
      <c r="E88" s="141"/>
      <c r="F88" s="141"/>
      <c r="G88" s="141"/>
      <c r="H88" s="141"/>
      <c r="J88" s="141">
        <f t="shared" si="3"/>
        <v>0.25</v>
      </c>
      <c r="K88" s="141">
        <f t="shared" si="4"/>
        <v>1702.2000000000003</v>
      </c>
    </row>
    <row r="89" spans="1:11">
      <c r="A89" s="141">
        <v>89</v>
      </c>
      <c r="B89" s="142">
        <v>42182</v>
      </c>
      <c r="C89" s="149">
        <v>18.2</v>
      </c>
      <c r="D89" s="141">
        <v>1143.7000000000003</v>
      </c>
      <c r="E89" s="141"/>
      <c r="F89" s="141"/>
      <c r="G89" s="141"/>
      <c r="H89" s="141"/>
      <c r="J89" s="141">
        <f t="shared" si="3"/>
        <v>0.25</v>
      </c>
      <c r="K89" s="141">
        <f t="shared" si="4"/>
        <v>1708.2000000000003</v>
      </c>
    </row>
    <row r="90" spans="1:11">
      <c r="A90" s="141">
        <v>90</v>
      </c>
      <c r="B90" s="142">
        <v>42183</v>
      </c>
      <c r="C90" s="149">
        <v>17.8</v>
      </c>
      <c r="D90" s="141">
        <v>1161.5000000000002</v>
      </c>
      <c r="E90" s="141"/>
      <c r="F90" s="141"/>
      <c r="G90" s="141"/>
      <c r="H90" s="141"/>
      <c r="J90" s="141">
        <f t="shared" si="3"/>
        <v>0.25</v>
      </c>
      <c r="K90" s="141">
        <f t="shared" si="4"/>
        <v>1714.2000000000003</v>
      </c>
    </row>
    <row r="91" spans="1:11">
      <c r="A91" s="141">
        <v>91</v>
      </c>
      <c r="B91" s="142">
        <v>42184</v>
      </c>
      <c r="C91" s="149">
        <v>18.2</v>
      </c>
      <c r="D91" s="141">
        <v>1179.7000000000003</v>
      </c>
      <c r="E91" s="141"/>
      <c r="F91" s="141"/>
      <c r="G91" s="141"/>
      <c r="H91" s="141"/>
      <c r="J91" s="141">
        <f t="shared" si="3"/>
        <v>0.25</v>
      </c>
      <c r="K91" s="141">
        <f t="shared" si="4"/>
        <v>1720.2000000000003</v>
      </c>
    </row>
    <row r="92" spans="1:11">
      <c r="A92" s="141">
        <v>92</v>
      </c>
      <c r="B92" s="142">
        <v>42185</v>
      </c>
      <c r="C92" s="149">
        <v>20.6</v>
      </c>
      <c r="D92" s="141">
        <v>1200.3000000000002</v>
      </c>
      <c r="E92" s="141"/>
      <c r="F92" s="141"/>
      <c r="G92" s="141"/>
      <c r="H92" s="141"/>
      <c r="J92" s="141">
        <f t="shared" si="3"/>
        <v>0.25</v>
      </c>
      <c r="K92" s="141">
        <f t="shared" si="4"/>
        <v>1726.2000000000003</v>
      </c>
    </row>
    <row r="93" spans="1:11">
      <c r="A93" s="141">
        <v>93</v>
      </c>
      <c r="B93" s="142">
        <v>42186</v>
      </c>
      <c r="C93" s="149">
        <v>21.7</v>
      </c>
      <c r="D93" s="141">
        <v>1222.0000000000002</v>
      </c>
      <c r="E93" s="141"/>
      <c r="F93" s="141"/>
      <c r="G93" s="141"/>
      <c r="H93" s="141"/>
      <c r="J93" s="141">
        <f t="shared" si="3"/>
        <v>0.25</v>
      </c>
      <c r="K93" s="141">
        <f t="shared" si="4"/>
        <v>1732.2000000000003</v>
      </c>
    </row>
    <row r="94" spans="1:11">
      <c r="A94" s="141">
        <v>94</v>
      </c>
      <c r="B94" s="142">
        <v>42187</v>
      </c>
      <c r="C94" s="149">
        <v>22.8</v>
      </c>
      <c r="D94" s="141">
        <v>1244.8000000000002</v>
      </c>
      <c r="E94" s="141"/>
      <c r="F94" s="141"/>
      <c r="G94" s="141"/>
      <c r="H94" s="141"/>
      <c r="J94" s="141">
        <f t="shared" si="3"/>
        <v>0.25</v>
      </c>
      <c r="K94" s="141">
        <f t="shared" si="4"/>
        <v>1738.2000000000003</v>
      </c>
    </row>
    <row r="95" spans="1:11">
      <c r="A95" s="141">
        <v>95</v>
      </c>
      <c r="B95" s="142">
        <v>42188</v>
      </c>
      <c r="C95" s="149">
        <v>24</v>
      </c>
      <c r="D95" s="141">
        <v>1268.8000000000002</v>
      </c>
      <c r="E95" s="141"/>
      <c r="F95" s="141"/>
      <c r="G95" s="141"/>
      <c r="H95" s="141"/>
      <c r="J95" s="141">
        <f t="shared" si="3"/>
        <v>0.25</v>
      </c>
      <c r="K95" s="141">
        <f t="shared" si="4"/>
        <v>1744.2000000000003</v>
      </c>
    </row>
    <row r="96" spans="1:11">
      <c r="A96" s="141">
        <v>96</v>
      </c>
      <c r="B96" s="142">
        <v>42189</v>
      </c>
      <c r="C96" s="149">
        <v>25.6</v>
      </c>
      <c r="D96" s="141">
        <v>1294.4000000000001</v>
      </c>
      <c r="E96" s="141"/>
      <c r="F96" s="141"/>
      <c r="G96" s="141"/>
      <c r="H96" s="141"/>
      <c r="J96" s="141">
        <f t="shared" si="3"/>
        <v>0.25</v>
      </c>
      <c r="K96" s="141">
        <f t="shared" si="4"/>
        <v>1750.2000000000003</v>
      </c>
    </row>
    <row r="97" spans="1:11">
      <c r="A97" s="141">
        <v>97</v>
      </c>
      <c r="B97" s="142">
        <v>42190</v>
      </c>
      <c r="C97" s="149">
        <v>26.2</v>
      </c>
      <c r="D97" s="141">
        <v>1320.6000000000001</v>
      </c>
      <c r="E97" s="141"/>
      <c r="F97" s="141"/>
      <c r="G97" s="141"/>
      <c r="H97" s="141"/>
      <c r="J97" s="141">
        <f t="shared" si="3"/>
        <v>0.25</v>
      </c>
      <c r="K97" s="141">
        <f t="shared" si="4"/>
        <v>1756.2000000000003</v>
      </c>
    </row>
    <row r="98" spans="1:11">
      <c r="A98" s="141">
        <v>98</v>
      </c>
      <c r="B98" s="142">
        <v>42191</v>
      </c>
      <c r="C98" s="149">
        <v>24</v>
      </c>
      <c r="D98" s="141">
        <v>1344.6000000000001</v>
      </c>
      <c r="E98" s="141"/>
      <c r="F98" s="141"/>
      <c r="G98" s="141"/>
      <c r="H98" s="141"/>
      <c r="J98" s="141">
        <f t="shared" si="3"/>
        <v>0.25</v>
      </c>
      <c r="K98" s="141">
        <f t="shared" si="4"/>
        <v>1762.2000000000003</v>
      </c>
    </row>
    <row r="99" spans="1:11">
      <c r="A99" s="141">
        <v>99</v>
      </c>
      <c r="B99" s="142">
        <v>42192</v>
      </c>
      <c r="C99" s="149">
        <v>24.4</v>
      </c>
      <c r="D99" s="141">
        <v>1369.0000000000002</v>
      </c>
      <c r="E99" s="141"/>
      <c r="F99" s="141"/>
      <c r="G99" s="141"/>
      <c r="H99" s="141"/>
      <c r="J99" s="141">
        <f t="shared" si="3"/>
        <v>0.25</v>
      </c>
      <c r="K99" s="141">
        <f t="shared" si="4"/>
        <v>1768.2000000000003</v>
      </c>
    </row>
    <row r="100" spans="1:11">
      <c r="A100" s="141">
        <v>100</v>
      </c>
      <c r="B100" s="142">
        <v>42193</v>
      </c>
      <c r="C100" s="149">
        <v>21.2</v>
      </c>
      <c r="D100" s="141">
        <v>1390.2000000000003</v>
      </c>
      <c r="E100" s="141"/>
      <c r="F100" s="141"/>
      <c r="G100" s="141"/>
      <c r="H100" s="141"/>
      <c r="J100" s="141">
        <f t="shared" si="3"/>
        <v>0.25</v>
      </c>
      <c r="K100" s="141">
        <f t="shared" si="4"/>
        <v>1774.2000000000003</v>
      </c>
    </row>
    <row r="101" spans="1:11">
      <c r="A101" s="141">
        <v>101</v>
      </c>
      <c r="B101" s="142">
        <v>42194</v>
      </c>
      <c r="C101" s="149">
        <v>17</v>
      </c>
      <c r="D101" s="141">
        <v>1407.2000000000003</v>
      </c>
      <c r="E101" s="141"/>
      <c r="F101" s="141"/>
      <c r="G101" s="141"/>
      <c r="H101" s="141"/>
      <c r="J101" s="141">
        <f t="shared" si="3"/>
        <v>0.25</v>
      </c>
      <c r="K101" s="141">
        <f t="shared" si="4"/>
        <v>1780.2000000000003</v>
      </c>
    </row>
    <row r="102" spans="1:11">
      <c r="A102" s="141">
        <v>102</v>
      </c>
      <c r="B102" s="142">
        <v>42195</v>
      </c>
      <c r="C102" s="149">
        <v>14.8</v>
      </c>
      <c r="D102" s="141">
        <v>1422.0000000000002</v>
      </c>
      <c r="E102" s="141"/>
      <c r="F102" s="141"/>
      <c r="G102" s="141"/>
      <c r="H102" s="141"/>
      <c r="J102" s="141">
        <f t="shared" si="3"/>
        <v>0.57999999999999985</v>
      </c>
      <c r="K102" s="141">
        <f t="shared" si="4"/>
        <v>1794.1200000000003</v>
      </c>
    </row>
    <row r="103" spans="1:11">
      <c r="A103" s="141">
        <v>103</v>
      </c>
      <c r="B103" s="142">
        <v>42196</v>
      </c>
      <c r="C103" s="149">
        <v>17.5</v>
      </c>
      <c r="D103" s="141">
        <v>1439.5000000000002</v>
      </c>
      <c r="E103" s="141"/>
      <c r="F103" s="141"/>
      <c r="G103" s="141"/>
      <c r="H103" s="141"/>
      <c r="J103" s="141">
        <f t="shared" si="3"/>
        <v>0.25</v>
      </c>
      <c r="K103" s="141">
        <f t="shared" si="4"/>
        <v>1800.1200000000003</v>
      </c>
    </row>
    <row r="104" spans="1:11">
      <c r="A104" s="141">
        <v>104</v>
      </c>
      <c r="B104" s="142">
        <v>42197</v>
      </c>
      <c r="C104" s="149">
        <v>21.2</v>
      </c>
      <c r="D104" s="141">
        <v>1460.7000000000003</v>
      </c>
      <c r="E104" s="141"/>
      <c r="F104" s="141"/>
      <c r="G104" s="141"/>
      <c r="H104" s="141"/>
      <c r="J104" s="141">
        <f t="shared" si="3"/>
        <v>0.25</v>
      </c>
      <c r="K104" s="141">
        <f t="shared" si="4"/>
        <v>1806.1200000000003</v>
      </c>
    </row>
    <row r="105" spans="1:11">
      <c r="A105" s="141">
        <v>105</v>
      </c>
      <c r="B105" s="142">
        <v>42198</v>
      </c>
      <c r="C105" s="149">
        <v>18.100000000000001</v>
      </c>
      <c r="D105" s="141">
        <v>1478.8000000000002</v>
      </c>
      <c r="E105" s="141"/>
      <c r="F105" s="141"/>
      <c r="G105" s="141"/>
      <c r="H105" s="141"/>
      <c r="J105" s="141">
        <f t="shared" si="3"/>
        <v>0.25</v>
      </c>
      <c r="K105" s="141">
        <f t="shared" si="4"/>
        <v>1812.1200000000003</v>
      </c>
    </row>
    <row r="106" spans="1:11">
      <c r="A106" s="141">
        <v>106</v>
      </c>
      <c r="B106" s="142">
        <v>42199</v>
      </c>
      <c r="C106" s="149">
        <v>18.8</v>
      </c>
      <c r="D106" s="141">
        <v>1497.6000000000001</v>
      </c>
      <c r="E106" s="141"/>
      <c r="F106" s="141"/>
      <c r="G106" s="141"/>
      <c r="H106" s="141"/>
      <c r="J106" s="141">
        <f t="shared" si="3"/>
        <v>0.25</v>
      </c>
      <c r="K106" s="141">
        <f t="shared" si="4"/>
        <v>1818.1200000000003</v>
      </c>
    </row>
    <row r="107" spans="1:11">
      <c r="A107" s="141">
        <v>107</v>
      </c>
      <c r="B107" s="142">
        <v>42200</v>
      </c>
      <c r="C107" s="149">
        <v>20.100000000000001</v>
      </c>
      <c r="D107" s="141">
        <v>1517.7</v>
      </c>
      <c r="E107" s="141"/>
      <c r="F107" s="141"/>
      <c r="G107" s="141"/>
      <c r="H107" s="141"/>
      <c r="J107" s="141">
        <f t="shared" si="3"/>
        <v>0.25</v>
      </c>
      <c r="K107" s="141">
        <f t="shared" si="4"/>
        <v>1824.1200000000003</v>
      </c>
    </row>
    <row r="108" spans="1:11">
      <c r="A108" s="141">
        <v>108</v>
      </c>
      <c r="B108" s="142">
        <v>42201</v>
      </c>
      <c r="C108" s="149">
        <v>21.7</v>
      </c>
      <c r="D108" s="141">
        <v>1539.4</v>
      </c>
      <c r="E108" s="141"/>
      <c r="F108" s="141"/>
      <c r="G108" s="141"/>
      <c r="H108" s="141"/>
      <c r="J108" s="141">
        <f t="shared" si="3"/>
        <v>0.25</v>
      </c>
      <c r="K108" s="141">
        <f t="shared" si="4"/>
        <v>1830.1200000000003</v>
      </c>
    </row>
    <row r="109" spans="1:11">
      <c r="A109" s="141">
        <v>109</v>
      </c>
      <c r="B109" s="142">
        <v>42202</v>
      </c>
      <c r="C109" s="149">
        <v>24.4</v>
      </c>
      <c r="D109" s="141">
        <v>1563.8000000000002</v>
      </c>
      <c r="E109" s="141"/>
      <c r="F109" s="141"/>
      <c r="G109" s="141"/>
      <c r="H109" s="141"/>
      <c r="J109" s="141">
        <f t="shared" si="3"/>
        <v>0.25</v>
      </c>
      <c r="K109" s="141">
        <f t="shared" si="4"/>
        <v>1836.1200000000003</v>
      </c>
    </row>
    <row r="110" spans="1:11">
      <c r="A110" s="141">
        <v>110</v>
      </c>
      <c r="B110" s="142">
        <v>42203</v>
      </c>
      <c r="C110" s="149">
        <v>26.5</v>
      </c>
      <c r="D110" s="141">
        <v>1590.3000000000002</v>
      </c>
      <c r="E110" s="141"/>
      <c r="F110" s="141"/>
      <c r="G110" s="141"/>
      <c r="H110" s="141"/>
      <c r="J110" s="141">
        <f t="shared" si="3"/>
        <v>0.25</v>
      </c>
      <c r="K110" s="141">
        <f t="shared" si="4"/>
        <v>1842.1200000000003</v>
      </c>
    </row>
    <row r="111" spans="1:11">
      <c r="A111" s="141">
        <v>111</v>
      </c>
      <c r="B111" s="142">
        <v>42204</v>
      </c>
      <c r="C111" s="149">
        <v>25.6</v>
      </c>
      <c r="D111" s="141">
        <v>1615.9</v>
      </c>
      <c r="E111" s="141"/>
      <c r="F111" s="141"/>
      <c r="G111" s="141"/>
      <c r="H111" s="141"/>
      <c r="J111" s="141">
        <f t="shared" si="3"/>
        <v>0.25</v>
      </c>
      <c r="K111" s="141">
        <f t="shared" si="4"/>
        <v>1848.1200000000003</v>
      </c>
    </row>
    <row r="112" spans="1:11">
      <c r="A112" s="141">
        <v>112</v>
      </c>
      <c r="B112" s="142">
        <v>42205</v>
      </c>
      <c r="C112" s="149">
        <v>22.4</v>
      </c>
      <c r="D112" s="141">
        <v>1638.3000000000002</v>
      </c>
      <c r="E112" s="141"/>
      <c r="F112" s="141"/>
      <c r="G112" s="141"/>
      <c r="H112" s="141"/>
      <c r="J112" s="141">
        <f t="shared" si="3"/>
        <v>0.25</v>
      </c>
      <c r="K112" s="141">
        <f t="shared" si="4"/>
        <v>1854.1200000000003</v>
      </c>
    </row>
    <row r="113" spans="1:11">
      <c r="A113" s="141">
        <v>113</v>
      </c>
      <c r="B113" s="142">
        <v>42206</v>
      </c>
      <c r="C113" s="149">
        <v>25.6</v>
      </c>
      <c r="D113" s="141">
        <v>1663.9</v>
      </c>
      <c r="E113" s="141"/>
      <c r="F113" s="141"/>
      <c r="G113" s="141"/>
      <c r="H113" s="141"/>
      <c r="J113" s="141">
        <f t="shared" si="3"/>
        <v>0.25</v>
      </c>
      <c r="K113" s="141">
        <f t="shared" si="4"/>
        <v>1860.1200000000003</v>
      </c>
    </row>
    <row r="114" spans="1:11">
      <c r="A114" s="141">
        <v>114</v>
      </c>
      <c r="B114" s="142">
        <v>42207</v>
      </c>
      <c r="C114" s="149">
        <v>26.5</v>
      </c>
      <c r="D114" s="141">
        <v>1690.4</v>
      </c>
      <c r="E114" s="141"/>
      <c r="F114" s="141"/>
      <c r="G114" s="141"/>
      <c r="H114" s="141"/>
      <c r="J114" s="141">
        <f t="shared" si="3"/>
        <v>0.25</v>
      </c>
      <c r="K114" s="141">
        <f t="shared" si="4"/>
        <v>1866.1200000000003</v>
      </c>
    </row>
    <row r="115" spans="1:11">
      <c r="A115" s="141">
        <v>115</v>
      </c>
      <c r="B115" s="142">
        <v>42208</v>
      </c>
      <c r="C115" s="149">
        <v>22</v>
      </c>
      <c r="D115" s="141">
        <v>1712.4</v>
      </c>
      <c r="E115" s="141"/>
      <c r="F115" s="141"/>
      <c r="G115" s="141"/>
      <c r="H115" s="141"/>
      <c r="J115" s="141">
        <f t="shared" si="3"/>
        <v>0.25</v>
      </c>
      <c r="K115" s="141">
        <f t="shared" si="4"/>
        <v>1872.1200000000003</v>
      </c>
    </row>
    <row r="116" spans="1:11">
      <c r="A116" s="141">
        <v>116</v>
      </c>
      <c r="B116" s="142">
        <v>42209</v>
      </c>
      <c r="C116" s="149">
        <v>23.2</v>
      </c>
      <c r="D116" s="141">
        <v>1735.6000000000001</v>
      </c>
      <c r="E116" s="141"/>
      <c r="F116" s="141"/>
      <c r="G116" s="141"/>
      <c r="H116" s="141"/>
      <c r="J116" s="141">
        <f t="shared" si="3"/>
        <v>0.25</v>
      </c>
      <c r="K116" s="141">
        <f t="shared" si="4"/>
        <v>1878.1200000000003</v>
      </c>
    </row>
    <row r="117" spans="1:11">
      <c r="A117" s="141">
        <v>117</v>
      </c>
      <c r="B117" s="142">
        <v>42210</v>
      </c>
      <c r="C117" s="149">
        <v>22.2</v>
      </c>
      <c r="D117" s="141">
        <v>1757.8000000000002</v>
      </c>
      <c r="E117" s="141"/>
      <c r="F117" s="141"/>
      <c r="G117" s="141"/>
      <c r="H117" s="141"/>
      <c r="J117" s="141">
        <f t="shared" si="3"/>
        <v>0.25</v>
      </c>
      <c r="K117" s="141">
        <f t="shared" si="4"/>
        <v>1884.1200000000003</v>
      </c>
    </row>
    <row r="118" spans="1:11">
      <c r="A118" s="141">
        <v>118</v>
      </c>
      <c r="B118" s="142">
        <v>42211</v>
      </c>
      <c r="C118" s="149">
        <v>17.8</v>
      </c>
      <c r="D118" s="141">
        <v>1775.6000000000001</v>
      </c>
      <c r="E118" s="141"/>
      <c r="F118" s="141"/>
      <c r="G118" s="141"/>
      <c r="H118" s="141"/>
      <c r="J118" s="141">
        <f t="shared" si="3"/>
        <v>0.25</v>
      </c>
      <c r="K118" s="141">
        <f t="shared" si="4"/>
        <v>1890.1200000000003</v>
      </c>
    </row>
    <row r="119" spans="1:11">
      <c r="A119" s="141">
        <v>119</v>
      </c>
      <c r="B119" s="142">
        <v>42212</v>
      </c>
      <c r="C119" s="149">
        <v>17.8</v>
      </c>
      <c r="D119" s="141">
        <v>1793.4</v>
      </c>
      <c r="E119" s="141"/>
      <c r="F119" s="141"/>
      <c r="G119" s="141"/>
      <c r="H119" s="141"/>
      <c r="J119" s="141">
        <f t="shared" si="3"/>
        <v>0.25</v>
      </c>
      <c r="K119" s="141">
        <f t="shared" si="4"/>
        <v>1896.1200000000003</v>
      </c>
    </row>
    <row r="120" spans="1:11">
      <c r="A120" s="141">
        <v>120</v>
      </c>
      <c r="B120" s="142">
        <v>42213</v>
      </c>
      <c r="C120" s="149">
        <v>19.5</v>
      </c>
      <c r="D120" s="141">
        <v>1812.9</v>
      </c>
      <c r="E120" s="141"/>
      <c r="F120" s="141"/>
      <c r="G120" s="141"/>
      <c r="H120" s="141"/>
      <c r="J120" s="141">
        <f t="shared" si="3"/>
        <v>0.25</v>
      </c>
      <c r="K120" s="141">
        <f t="shared" si="4"/>
        <v>1902.1200000000003</v>
      </c>
    </row>
    <row r="121" spans="1:11">
      <c r="A121" s="141">
        <v>121</v>
      </c>
      <c r="B121" s="142">
        <v>42214</v>
      </c>
      <c r="C121" s="149">
        <v>16.7</v>
      </c>
      <c r="D121" s="141">
        <v>1829.6000000000001</v>
      </c>
      <c r="E121" s="141"/>
      <c r="F121" s="141"/>
      <c r="G121" s="141"/>
      <c r="H121" s="141"/>
      <c r="J121" s="141">
        <f t="shared" si="3"/>
        <v>0.2950000000000001</v>
      </c>
      <c r="K121" s="141">
        <f t="shared" si="4"/>
        <v>1909.2000000000003</v>
      </c>
    </row>
    <row r="122" spans="1:11">
      <c r="A122" s="141">
        <v>122</v>
      </c>
      <c r="B122" s="142">
        <v>42215</v>
      </c>
      <c r="C122" s="149">
        <v>16.2</v>
      </c>
      <c r="D122" s="141">
        <v>1845.8000000000002</v>
      </c>
      <c r="E122" s="141"/>
      <c r="F122" s="141"/>
      <c r="G122" s="141"/>
      <c r="H122" s="141"/>
      <c r="J122" s="141">
        <f t="shared" si="3"/>
        <v>0.37000000000000011</v>
      </c>
      <c r="K122" s="141">
        <f t="shared" si="4"/>
        <v>1918.0800000000004</v>
      </c>
    </row>
    <row r="123" spans="1:11">
      <c r="A123" s="141">
        <v>123</v>
      </c>
      <c r="B123" s="142">
        <v>42216</v>
      </c>
      <c r="C123" s="149">
        <v>16.7</v>
      </c>
      <c r="D123" s="141">
        <v>1862.5000000000002</v>
      </c>
      <c r="E123" s="141"/>
      <c r="F123" s="141"/>
      <c r="G123" s="141"/>
      <c r="H123" s="141"/>
      <c r="J123" s="141">
        <f t="shared" si="3"/>
        <v>0.2950000000000001</v>
      </c>
      <c r="K123" s="141">
        <f t="shared" si="4"/>
        <v>1925.1600000000003</v>
      </c>
    </row>
    <row r="124" spans="1:11">
      <c r="A124" s="141">
        <v>124</v>
      </c>
      <c r="B124" s="142">
        <v>42217</v>
      </c>
      <c r="C124" s="149">
        <v>19.5</v>
      </c>
      <c r="D124" s="141">
        <v>1882.0000000000002</v>
      </c>
      <c r="E124" s="141"/>
      <c r="F124" s="141"/>
      <c r="G124" s="141"/>
      <c r="H124" s="141"/>
      <c r="J124" s="141">
        <f t="shared" si="3"/>
        <v>0.25</v>
      </c>
      <c r="K124" s="141">
        <f t="shared" si="4"/>
        <v>1931.1600000000003</v>
      </c>
    </row>
    <row r="125" spans="1:11">
      <c r="A125" s="141">
        <v>125</v>
      </c>
      <c r="B125" s="142">
        <v>42218</v>
      </c>
      <c r="C125" s="149">
        <v>21.1</v>
      </c>
      <c r="D125" s="141">
        <v>1903.1000000000001</v>
      </c>
      <c r="E125" s="141"/>
      <c r="F125" s="141"/>
      <c r="G125" s="141"/>
      <c r="H125" s="141"/>
      <c r="J125" s="141">
        <f t="shared" si="3"/>
        <v>0.25</v>
      </c>
      <c r="K125" s="141">
        <f t="shared" si="4"/>
        <v>1937.1600000000003</v>
      </c>
    </row>
    <row r="126" spans="1:11">
      <c r="A126" s="141">
        <v>126</v>
      </c>
      <c r="B126" s="142">
        <v>42219</v>
      </c>
      <c r="C126" s="149">
        <v>22.8</v>
      </c>
      <c r="D126" s="141">
        <v>1925.9</v>
      </c>
      <c r="E126" s="141"/>
      <c r="F126" s="141"/>
      <c r="G126" s="141"/>
      <c r="H126" s="141"/>
      <c r="J126" s="141">
        <f t="shared" si="3"/>
        <v>0.25</v>
      </c>
      <c r="K126" s="141">
        <f t="shared" si="4"/>
        <v>1943.1600000000003</v>
      </c>
    </row>
    <row r="127" spans="1:11">
      <c r="A127" s="141">
        <v>127</v>
      </c>
      <c r="B127" s="142">
        <v>42220</v>
      </c>
      <c r="C127" s="149">
        <v>25.8</v>
      </c>
      <c r="D127" s="141">
        <v>1951.7</v>
      </c>
      <c r="E127" s="141"/>
      <c r="F127" s="141"/>
      <c r="G127" s="141"/>
      <c r="H127" s="141"/>
      <c r="J127" s="141">
        <f t="shared" si="3"/>
        <v>0.25</v>
      </c>
      <c r="K127" s="141">
        <f t="shared" si="4"/>
        <v>1949.1600000000003</v>
      </c>
    </row>
    <row r="128" spans="1:11">
      <c r="A128" s="141">
        <v>128</v>
      </c>
      <c r="B128" s="142">
        <v>42221</v>
      </c>
      <c r="C128" s="149">
        <v>24.4</v>
      </c>
      <c r="D128" s="141">
        <v>1976.1000000000001</v>
      </c>
      <c r="E128" s="141"/>
      <c r="F128" s="141"/>
      <c r="G128" s="141"/>
      <c r="H128" s="141"/>
      <c r="J128" s="141">
        <f t="shared" si="3"/>
        <v>0.25</v>
      </c>
      <c r="K128" s="141">
        <f t="shared" si="4"/>
        <v>1955.1600000000003</v>
      </c>
    </row>
    <row r="129" spans="1:11">
      <c r="A129" s="141">
        <v>129</v>
      </c>
      <c r="B129" s="142">
        <v>42222</v>
      </c>
      <c r="C129" s="149">
        <v>25.8</v>
      </c>
      <c r="D129" s="141">
        <v>2001.9</v>
      </c>
      <c r="E129" s="141"/>
      <c r="F129" s="141"/>
      <c r="G129" s="141"/>
      <c r="H129" s="141"/>
      <c r="J129" s="141">
        <f t="shared" si="3"/>
        <v>0.25</v>
      </c>
      <c r="K129" s="141">
        <f t="shared" si="4"/>
        <v>1961.1600000000003</v>
      </c>
    </row>
    <row r="130" spans="1:11">
      <c r="A130" s="141">
        <v>130</v>
      </c>
      <c r="B130" s="142">
        <v>42223</v>
      </c>
      <c r="C130" s="149">
        <v>26.9</v>
      </c>
      <c r="D130" s="141">
        <v>2028.8000000000002</v>
      </c>
      <c r="E130" s="141"/>
      <c r="F130" s="141"/>
      <c r="G130" s="141"/>
      <c r="H130" s="141"/>
      <c r="J130" s="141">
        <f t="shared" si="3"/>
        <v>0.25</v>
      </c>
      <c r="K130" s="141">
        <f t="shared" si="4"/>
        <v>1967.1600000000003</v>
      </c>
    </row>
    <row r="131" spans="1:11">
      <c r="A131" s="141">
        <v>131</v>
      </c>
      <c r="B131" s="142">
        <v>42224</v>
      </c>
      <c r="C131" s="149">
        <v>27.4</v>
      </c>
      <c r="D131" s="141">
        <v>2056.2000000000003</v>
      </c>
      <c r="E131" s="141"/>
      <c r="F131" s="141"/>
      <c r="G131" s="141"/>
      <c r="H131" s="141"/>
      <c r="J131" s="141">
        <f t="shared" si="3"/>
        <v>0.25</v>
      </c>
      <c r="K131" s="141">
        <f t="shared" si="4"/>
        <v>1973.1600000000003</v>
      </c>
    </row>
    <row r="132" spans="1:11">
      <c r="A132" s="141">
        <v>132</v>
      </c>
      <c r="B132" s="142">
        <v>42225</v>
      </c>
      <c r="C132" s="149">
        <v>25.2</v>
      </c>
      <c r="D132" s="141">
        <v>2081.4</v>
      </c>
      <c r="E132" s="141"/>
      <c r="F132" s="141"/>
      <c r="G132" s="141"/>
      <c r="H132" s="141"/>
      <c r="J132" s="141">
        <f t="shared" si="3"/>
        <v>0.25</v>
      </c>
      <c r="K132" s="141">
        <f t="shared" si="4"/>
        <v>1979.1600000000003</v>
      </c>
    </row>
    <row r="133" spans="1:11">
      <c r="A133" s="141">
        <v>133</v>
      </c>
      <c r="B133" s="142">
        <v>42226</v>
      </c>
      <c r="C133" s="149">
        <v>26.4</v>
      </c>
      <c r="D133" s="141">
        <v>2107.8000000000002</v>
      </c>
      <c r="E133" s="141"/>
      <c r="F133" s="141"/>
      <c r="G133" s="141"/>
      <c r="H133" s="141"/>
      <c r="J133" s="141">
        <f t="shared" si="3"/>
        <v>0.25</v>
      </c>
      <c r="K133" s="141">
        <f t="shared" si="4"/>
        <v>1985.1600000000003</v>
      </c>
    </row>
    <row r="134" spans="1:11">
      <c r="A134" s="141">
        <v>134</v>
      </c>
      <c r="B134" s="142">
        <v>42227</v>
      </c>
      <c r="C134" s="149">
        <v>26.4</v>
      </c>
      <c r="D134" s="141">
        <v>2134.2000000000003</v>
      </c>
      <c r="E134" s="141"/>
      <c r="F134" s="141"/>
      <c r="G134" s="141"/>
      <c r="H134" s="141"/>
      <c r="J134" s="141">
        <f t="shared" si="3"/>
        <v>0.25</v>
      </c>
      <c r="K134" s="141">
        <f t="shared" si="4"/>
        <v>1991.1600000000003</v>
      </c>
    </row>
    <row r="135" spans="1:11">
      <c r="A135" s="141">
        <v>135</v>
      </c>
      <c r="B135" s="142">
        <v>42228</v>
      </c>
      <c r="C135" s="149">
        <v>26.6</v>
      </c>
      <c r="D135" s="141">
        <v>2160.8000000000002</v>
      </c>
      <c r="E135" s="141"/>
      <c r="F135" s="141"/>
      <c r="G135" s="141"/>
      <c r="H135" s="141"/>
      <c r="J135" s="141">
        <f t="shared" ref="J135:J198" si="5">J$1+(IF(J$3-$C135&gt;0,J$3-$C135,0)*J$2/30)</f>
        <v>0.25</v>
      </c>
      <c r="K135" s="141">
        <f t="shared" ref="K135:K198" si="6">K134+J135*24</f>
        <v>1997.1600000000003</v>
      </c>
    </row>
    <row r="136" spans="1:11">
      <c r="A136" s="141">
        <v>136</v>
      </c>
      <c r="B136" s="142">
        <v>42229</v>
      </c>
      <c r="C136" s="149">
        <v>26.1</v>
      </c>
      <c r="D136" s="141">
        <v>2186.9</v>
      </c>
      <c r="E136" s="141"/>
      <c r="F136" s="141"/>
      <c r="G136" s="141"/>
      <c r="H136" s="141"/>
      <c r="J136" s="141">
        <f t="shared" si="5"/>
        <v>0.25</v>
      </c>
      <c r="K136" s="141">
        <f t="shared" si="6"/>
        <v>2003.1600000000003</v>
      </c>
    </row>
    <row r="137" spans="1:11">
      <c r="A137" s="141">
        <v>137</v>
      </c>
      <c r="B137" s="142">
        <v>42230</v>
      </c>
      <c r="C137" s="149">
        <v>26.3</v>
      </c>
      <c r="D137" s="141">
        <v>2213.2000000000003</v>
      </c>
      <c r="E137" s="141"/>
      <c r="F137" s="141"/>
      <c r="G137" s="141"/>
      <c r="H137" s="141"/>
      <c r="J137" s="141">
        <f t="shared" si="5"/>
        <v>0.25</v>
      </c>
      <c r="K137" s="141">
        <f t="shared" si="6"/>
        <v>2009.1600000000003</v>
      </c>
    </row>
    <row r="138" spans="1:11">
      <c r="A138" s="141">
        <v>138</v>
      </c>
      <c r="B138" s="142">
        <v>42231</v>
      </c>
      <c r="C138" s="149">
        <v>24.9</v>
      </c>
      <c r="D138" s="141">
        <v>2238.1000000000004</v>
      </c>
      <c r="E138" s="141"/>
      <c r="F138" s="141"/>
      <c r="G138" s="141"/>
      <c r="H138" s="141"/>
      <c r="J138" s="141">
        <f t="shared" si="5"/>
        <v>0.25</v>
      </c>
      <c r="K138" s="141">
        <f t="shared" si="6"/>
        <v>2015.1600000000003</v>
      </c>
    </row>
    <row r="139" spans="1:11">
      <c r="A139" s="141">
        <v>139</v>
      </c>
      <c r="B139" s="142">
        <v>42232</v>
      </c>
      <c r="C139" s="149">
        <v>21.1</v>
      </c>
      <c r="D139" s="141">
        <v>2259.2000000000003</v>
      </c>
      <c r="E139" s="141"/>
      <c r="F139" s="141"/>
      <c r="G139" s="141"/>
      <c r="H139" s="141"/>
      <c r="J139" s="141">
        <f t="shared" si="5"/>
        <v>0.25</v>
      </c>
      <c r="K139" s="141">
        <f t="shared" si="6"/>
        <v>2021.1600000000003</v>
      </c>
    </row>
    <row r="140" spans="1:11">
      <c r="A140" s="141">
        <v>140</v>
      </c>
      <c r="B140" s="142">
        <v>42233</v>
      </c>
      <c r="C140" s="149">
        <v>17.8</v>
      </c>
      <c r="D140" s="141">
        <v>2277.0000000000005</v>
      </c>
      <c r="E140" s="141"/>
      <c r="F140" s="141"/>
      <c r="G140" s="141"/>
      <c r="H140" s="141"/>
      <c r="J140" s="141">
        <f t="shared" si="5"/>
        <v>0.25</v>
      </c>
      <c r="K140" s="141">
        <f t="shared" si="6"/>
        <v>2027.1600000000003</v>
      </c>
    </row>
    <row r="141" spans="1:11">
      <c r="A141" s="141">
        <v>141</v>
      </c>
      <c r="B141" s="142">
        <v>42234</v>
      </c>
      <c r="C141" s="149">
        <v>15.1</v>
      </c>
      <c r="D141" s="141">
        <v>2292.1000000000004</v>
      </c>
      <c r="E141" s="141"/>
      <c r="F141" s="141"/>
      <c r="G141" s="141"/>
      <c r="H141" s="141"/>
      <c r="J141" s="141">
        <f t="shared" si="5"/>
        <v>0.53500000000000003</v>
      </c>
      <c r="K141" s="141">
        <f t="shared" si="6"/>
        <v>2040.0000000000002</v>
      </c>
    </row>
    <row r="142" spans="1:11">
      <c r="A142" s="141">
        <v>142</v>
      </c>
      <c r="B142" s="142">
        <v>42235</v>
      </c>
      <c r="C142" s="149">
        <v>15.7</v>
      </c>
      <c r="D142" s="141">
        <v>2307.8000000000002</v>
      </c>
      <c r="E142" s="141"/>
      <c r="F142" s="141"/>
      <c r="G142" s="141"/>
      <c r="H142" s="141"/>
      <c r="J142" s="141">
        <f t="shared" si="5"/>
        <v>0.44500000000000012</v>
      </c>
      <c r="K142" s="141">
        <f t="shared" si="6"/>
        <v>2050.6800000000003</v>
      </c>
    </row>
    <row r="143" spans="1:11">
      <c r="A143" s="141">
        <v>143</v>
      </c>
      <c r="B143" s="142">
        <v>42236</v>
      </c>
      <c r="C143" s="149">
        <v>17.5</v>
      </c>
      <c r="D143" s="141">
        <v>2325.3000000000002</v>
      </c>
      <c r="E143" s="141"/>
      <c r="F143" s="141"/>
      <c r="G143" s="141"/>
      <c r="H143" s="141"/>
      <c r="J143" s="141">
        <f t="shared" si="5"/>
        <v>0.25</v>
      </c>
      <c r="K143" s="141">
        <f t="shared" si="6"/>
        <v>2056.6800000000003</v>
      </c>
    </row>
    <row r="144" spans="1:11">
      <c r="A144" s="141">
        <v>144</v>
      </c>
      <c r="B144" s="142">
        <v>42237</v>
      </c>
      <c r="C144" s="149">
        <v>18.899999999999999</v>
      </c>
      <c r="D144" s="141">
        <v>2344.2000000000003</v>
      </c>
      <c r="E144" s="141"/>
      <c r="F144" s="141"/>
      <c r="G144" s="141"/>
      <c r="H144" s="141"/>
      <c r="J144" s="141">
        <f t="shared" si="5"/>
        <v>0.25</v>
      </c>
      <c r="K144" s="141">
        <f t="shared" si="6"/>
        <v>2062.6800000000003</v>
      </c>
    </row>
    <row r="145" spans="1:11">
      <c r="A145" s="141">
        <v>145</v>
      </c>
      <c r="B145" s="142">
        <v>42238</v>
      </c>
      <c r="C145" s="149">
        <v>17.8</v>
      </c>
      <c r="D145" s="141">
        <v>2362.0000000000005</v>
      </c>
      <c r="E145" s="141"/>
      <c r="F145" s="141"/>
      <c r="G145" s="141"/>
      <c r="H145" s="141"/>
      <c r="J145" s="141">
        <f t="shared" si="5"/>
        <v>0.25</v>
      </c>
      <c r="K145" s="141">
        <f t="shared" si="6"/>
        <v>2068.6800000000003</v>
      </c>
    </row>
    <row r="146" spans="1:11">
      <c r="A146" s="141">
        <v>146</v>
      </c>
      <c r="B146" s="142">
        <v>42239</v>
      </c>
      <c r="C146" s="149">
        <v>17.8</v>
      </c>
      <c r="D146" s="141">
        <v>2379.8000000000006</v>
      </c>
      <c r="E146" s="141"/>
      <c r="F146" s="141"/>
      <c r="G146" s="141"/>
      <c r="H146" s="141"/>
      <c r="J146" s="141">
        <f t="shared" si="5"/>
        <v>0.25</v>
      </c>
      <c r="K146" s="141">
        <f t="shared" si="6"/>
        <v>2074.6800000000003</v>
      </c>
    </row>
    <row r="147" spans="1:11">
      <c r="A147" s="141">
        <v>147</v>
      </c>
      <c r="B147" s="142">
        <v>42240</v>
      </c>
      <c r="C147" s="149">
        <v>20.8</v>
      </c>
      <c r="D147" s="141">
        <v>2400.6000000000008</v>
      </c>
      <c r="E147" s="141"/>
      <c r="F147" s="141"/>
      <c r="G147" s="141"/>
      <c r="H147" s="141"/>
      <c r="J147" s="141">
        <f t="shared" si="5"/>
        <v>0.25</v>
      </c>
      <c r="K147" s="141">
        <f t="shared" si="6"/>
        <v>2080.6800000000003</v>
      </c>
    </row>
    <row r="148" spans="1:11">
      <c r="A148" s="141">
        <v>148</v>
      </c>
      <c r="B148" s="142">
        <v>42241</v>
      </c>
      <c r="C148" s="149">
        <v>18.100000000000001</v>
      </c>
      <c r="D148" s="141">
        <v>2418.7000000000007</v>
      </c>
      <c r="E148" s="141"/>
      <c r="F148" s="141"/>
      <c r="G148" s="141"/>
      <c r="H148" s="141"/>
      <c r="J148" s="141">
        <f t="shared" si="5"/>
        <v>0.25</v>
      </c>
      <c r="K148" s="141">
        <f t="shared" si="6"/>
        <v>2086.6800000000003</v>
      </c>
    </row>
    <row r="149" spans="1:11">
      <c r="A149" s="141">
        <v>149</v>
      </c>
      <c r="B149" s="142">
        <v>42242</v>
      </c>
      <c r="C149" s="149">
        <v>18.600000000000001</v>
      </c>
      <c r="D149" s="141">
        <v>2437.3000000000006</v>
      </c>
      <c r="E149" s="141"/>
      <c r="F149" s="141"/>
      <c r="G149" s="141"/>
      <c r="H149" s="141"/>
      <c r="J149" s="141">
        <f t="shared" si="5"/>
        <v>0.25</v>
      </c>
      <c r="K149" s="141">
        <f t="shared" si="6"/>
        <v>2092.6800000000003</v>
      </c>
    </row>
    <row r="150" spans="1:11">
      <c r="A150" s="141">
        <v>150</v>
      </c>
      <c r="B150" s="142">
        <v>42243</v>
      </c>
      <c r="C150" s="149">
        <v>21.3</v>
      </c>
      <c r="D150" s="141">
        <v>2458.6000000000008</v>
      </c>
      <c r="E150" s="141"/>
      <c r="F150" s="141"/>
      <c r="G150" s="141"/>
      <c r="H150" s="141"/>
      <c r="J150" s="141">
        <f t="shared" si="5"/>
        <v>0.25</v>
      </c>
      <c r="K150" s="141">
        <f t="shared" si="6"/>
        <v>2098.6800000000003</v>
      </c>
    </row>
    <row r="151" spans="1:11">
      <c r="A151" s="141">
        <v>151</v>
      </c>
      <c r="B151" s="142">
        <v>42244</v>
      </c>
      <c r="C151" s="149">
        <v>22.8</v>
      </c>
      <c r="D151" s="141">
        <v>2481.400000000001</v>
      </c>
      <c r="E151" s="141"/>
      <c r="F151" s="141"/>
      <c r="G151" s="141"/>
      <c r="H151" s="141"/>
      <c r="J151" s="141">
        <f t="shared" si="5"/>
        <v>0.25</v>
      </c>
      <c r="K151" s="141">
        <f t="shared" si="6"/>
        <v>2104.6800000000003</v>
      </c>
    </row>
    <row r="152" spans="1:11">
      <c r="A152" s="141">
        <v>152</v>
      </c>
      <c r="B152" s="142">
        <v>42245</v>
      </c>
      <c r="C152" s="149">
        <v>22.2</v>
      </c>
      <c r="D152" s="141">
        <v>2503.6000000000008</v>
      </c>
      <c r="E152" s="141"/>
      <c r="F152" s="141"/>
      <c r="G152" s="141"/>
      <c r="H152" s="141"/>
      <c r="J152" s="141">
        <f t="shared" si="5"/>
        <v>0.25</v>
      </c>
      <c r="K152" s="141">
        <f t="shared" si="6"/>
        <v>2110.6800000000003</v>
      </c>
    </row>
    <row r="153" spans="1:11">
      <c r="A153" s="141">
        <v>153</v>
      </c>
      <c r="B153" s="142">
        <v>42246</v>
      </c>
      <c r="C153" s="149">
        <v>24.6</v>
      </c>
      <c r="D153" s="141">
        <v>2528.2000000000007</v>
      </c>
      <c r="E153" s="141"/>
      <c r="F153" s="141"/>
      <c r="G153" s="141"/>
      <c r="H153" s="141"/>
      <c r="J153" s="141">
        <f t="shared" si="5"/>
        <v>0.25</v>
      </c>
      <c r="K153" s="141">
        <f t="shared" si="6"/>
        <v>2116.6800000000003</v>
      </c>
    </row>
    <row r="154" spans="1:11">
      <c r="A154" s="141">
        <v>154</v>
      </c>
      <c r="B154" s="142">
        <v>42247</v>
      </c>
      <c r="C154" s="149">
        <v>25.3</v>
      </c>
      <c r="D154" s="141">
        <v>2553.5000000000009</v>
      </c>
      <c r="E154" s="141"/>
      <c r="F154" s="141"/>
      <c r="G154" s="141"/>
      <c r="H154" s="141"/>
      <c r="J154" s="141">
        <f t="shared" si="5"/>
        <v>0.25</v>
      </c>
      <c r="K154" s="141">
        <f t="shared" si="6"/>
        <v>2122.6800000000003</v>
      </c>
    </row>
    <row r="155" spans="1:11">
      <c r="A155" s="141">
        <v>155</v>
      </c>
      <c r="B155" s="142">
        <v>42248</v>
      </c>
      <c r="C155" s="149">
        <v>25.4</v>
      </c>
      <c r="D155" s="141">
        <v>2578.900000000001</v>
      </c>
      <c r="E155" s="141"/>
      <c r="F155" s="141"/>
      <c r="G155" s="141"/>
      <c r="H155" s="141"/>
      <c r="J155" s="141">
        <f t="shared" si="5"/>
        <v>0.25</v>
      </c>
      <c r="K155" s="141">
        <f t="shared" si="6"/>
        <v>2128.6800000000003</v>
      </c>
    </row>
    <row r="156" spans="1:11">
      <c r="A156" s="141">
        <v>156</v>
      </c>
      <c r="B156" s="142">
        <v>42249</v>
      </c>
      <c r="C156" s="149">
        <v>16.600000000000001</v>
      </c>
      <c r="D156" s="141">
        <v>2595.5000000000009</v>
      </c>
      <c r="E156" s="141"/>
      <c r="F156" s="141"/>
      <c r="G156" s="141"/>
      <c r="H156" s="141"/>
      <c r="J156" s="141">
        <f t="shared" si="5"/>
        <v>0.30999999999999978</v>
      </c>
      <c r="K156" s="141">
        <f t="shared" si="6"/>
        <v>2136.1200000000003</v>
      </c>
    </row>
    <row r="157" spans="1:11">
      <c r="A157" s="141">
        <v>157</v>
      </c>
      <c r="B157" s="142">
        <v>42250</v>
      </c>
      <c r="C157" s="149">
        <v>16.8</v>
      </c>
      <c r="D157" s="141">
        <v>2612.3000000000011</v>
      </c>
      <c r="E157" s="141"/>
      <c r="F157" s="141"/>
      <c r="G157" s="141"/>
      <c r="H157" s="141"/>
      <c r="J157" s="141">
        <f t="shared" si="5"/>
        <v>0.27999999999999992</v>
      </c>
      <c r="K157" s="141">
        <f t="shared" si="6"/>
        <v>2142.84</v>
      </c>
    </row>
    <row r="158" spans="1:11">
      <c r="A158" s="141">
        <v>158</v>
      </c>
      <c r="B158" s="142">
        <v>42251</v>
      </c>
      <c r="C158" s="149">
        <v>16.8</v>
      </c>
      <c r="D158" s="141">
        <v>2629.1000000000013</v>
      </c>
      <c r="E158" s="141"/>
      <c r="F158" s="141"/>
      <c r="G158" s="141"/>
      <c r="H158" s="141"/>
      <c r="J158" s="141">
        <f t="shared" si="5"/>
        <v>0.27999999999999992</v>
      </c>
      <c r="K158" s="141">
        <f t="shared" si="6"/>
        <v>2149.56</v>
      </c>
    </row>
    <row r="159" spans="1:11">
      <c r="A159" s="141">
        <v>159</v>
      </c>
      <c r="B159" s="142">
        <v>42252</v>
      </c>
      <c r="C159" s="149">
        <v>14.8</v>
      </c>
      <c r="D159" s="141">
        <v>2643.9000000000015</v>
      </c>
      <c r="E159" s="141"/>
      <c r="F159" s="141"/>
      <c r="G159" s="141"/>
      <c r="H159" s="141"/>
      <c r="J159" s="141">
        <f t="shared" si="5"/>
        <v>0.57999999999999985</v>
      </c>
      <c r="K159" s="141">
        <f t="shared" si="6"/>
        <v>2163.48</v>
      </c>
    </row>
    <row r="160" spans="1:11">
      <c r="A160" s="141">
        <v>160</v>
      </c>
      <c r="B160" s="142">
        <v>42253</v>
      </c>
      <c r="C160" s="149">
        <v>12.3</v>
      </c>
      <c r="D160" s="141">
        <v>2656.2000000000016</v>
      </c>
      <c r="E160" s="141"/>
      <c r="F160" s="141"/>
      <c r="G160" s="141"/>
      <c r="H160" s="141"/>
      <c r="J160" s="141">
        <f t="shared" si="5"/>
        <v>0.95499999999999996</v>
      </c>
      <c r="K160" s="141">
        <f t="shared" si="6"/>
        <v>2186.4</v>
      </c>
    </row>
    <row r="161" spans="1:11">
      <c r="A161" s="141">
        <v>161</v>
      </c>
      <c r="B161" s="142">
        <v>42254</v>
      </c>
      <c r="C161" s="149">
        <v>12.2</v>
      </c>
      <c r="D161" s="141">
        <v>2668.4000000000015</v>
      </c>
      <c r="E161" s="141"/>
      <c r="F161" s="141"/>
      <c r="G161" s="141"/>
      <c r="H161" s="141"/>
      <c r="J161" s="141">
        <f t="shared" si="5"/>
        <v>0.97000000000000008</v>
      </c>
      <c r="K161" s="141">
        <f t="shared" si="6"/>
        <v>2209.6800000000003</v>
      </c>
    </row>
    <row r="162" spans="1:11">
      <c r="A162" s="141">
        <v>162</v>
      </c>
      <c r="B162" s="142">
        <v>42255</v>
      </c>
      <c r="C162" s="149">
        <v>13.100000000000001</v>
      </c>
      <c r="D162" s="141">
        <v>2681.5000000000014</v>
      </c>
      <c r="E162" s="141"/>
      <c r="F162" s="141"/>
      <c r="G162" s="141"/>
      <c r="H162" s="141"/>
      <c r="J162" s="141">
        <f t="shared" si="5"/>
        <v>0.83499999999999974</v>
      </c>
      <c r="K162" s="141">
        <f t="shared" si="6"/>
        <v>2229.7200000000003</v>
      </c>
    </row>
    <row r="163" spans="1:11">
      <c r="A163" s="141">
        <v>163</v>
      </c>
      <c r="B163" s="142">
        <v>42256</v>
      </c>
      <c r="C163" s="149">
        <v>12.7</v>
      </c>
      <c r="D163" s="141">
        <v>2694.2000000000012</v>
      </c>
      <c r="E163" s="141"/>
      <c r="F163" s="141"/>
      <c r="G163" s="141"/>
      <c r="H163" s="141"/>
      <c r="J163" s="141">
        <f t="shared" si="5"/>
        <v>0.89500000000000002</v>
      </c>
      <c r="K163" s="141">
        <f t="shared" si="6"/>
        <v>2251.2000000000003</v>
      </c>
    </row>
    <row r="164" spans="1:11">
      <c r="A164" s="141">
        <v>164</v>
      </c>
      <c r="B164" s="142">
        <v>42257</v>
      </c>
      <c r="C164" s="149">
        <v>11.5</v>
      </c>
      <c r="D164" s="141">
        <v>2705.7000000000012</v>
      </c>
      <c r="E164" s="141"/>
      <c r="F164" s="141"/>
      <c r="G164" s="141"/>
      <c r="H164" s="141"/>
      <c r="J164" s="141">
        <f t="shared" si="5"/>
        <v>1.075</v>
      </c>
      <c r="K164" s="141">
        <f t="shared" si="6"/>
        <v>2277.0000000000005</v>
      </c>
    </row>
    <row r="165" spans="1:11">
      <c r="A165" s="141">
        <v>165</v>
      </c>
      <c r="B165" s="142">
        <v>42258</v>
      </c>
      <c r="C165" s="149">
        <v>13.3</v>
      </c>
      <c r="D165" s="141">
        <v>2719.0000000000014</v>
      </c>
      <c r="E165" s="141"/>
      <c r="F165" s="141"/>
      <c r="G165" s="141"/>
      <c r="H165" s="141"/>
      <c r="J165" s="141">
        <f t="shared" si="5"/>
        <v>0.80499999999999994</v>
      </c>
      <c r="K165" s="141">
        <f t="shared" si="6"/>
        <v>2296.3200000000006</v>
      </c>
    </row>
    <row r="166" spans="1:11">
      <c r="A166" s="141">
        <v>166</v>
      </c>
      <c r="B166" s="142">
        <v>42259</v>
      </c>
      <c r="C166" s="149">
        <v>15</v>
      </c>
      <c r="D166" s="141">
        <v>2734.0000000000014</v>
      </c>
      <c r="E166" s="141"/>
      <c r="F166" s="141"/>
      <c r="G166" s="141"/>
      <c r="H166" s="141"/>
      <c r="J166" s="141">
        <f t="shared" si="5"/>
        <v>0.55000000000000004</v>
      </c>
      <c r="K166" s="141">
        <f t="shared" si="6"/>
        <v>2309.5200000000004</v>
      </c>
    </row>
    <row r="167" spans="1:11">
      <c r="A167" s="141">
        <v>167</v>
      </c>
      <c r="B167" s="142">
        <v>42260</v>
      </c>
      <c r="C167" s="149">
        <v>17.7</v>
      </c>
      <c r="D167" s="141">
        <v>2751.7000000000012</v>
      </c>
      <c r="E167" s="141"/>
      <c r="F167" s="141"/>
      <c r="G167" s="141"/>
      <c r="H167" s="141"/>
      <c r="J167" s="141">
        <f t="shared" si="5"/>
        <v>0.25</v>
      </c>
      <c r="K167" s="141">
        <f t="shared" si="6"/>
        <v>2315.5200000000004</v>
      </c>
    </row>
    <row r="168" spans="1:11">
      <c r="A168" s="141">
        <v>168</v>
      </c>
      <c r="B168" s="142">
        <v>42261</v>
      </c>
      <c r="C168" s="149">
        <v>15.8</v>
      </c>
      <c r="D168" s="141">
        <v>2767.5000000000014</v>
      </c>
      <c r="E168" s="141"/>
      <c r="F168" s="141"/>
      <c r="G168" s="141"/>
      <c r="H168" s="141"/>
      <c r="J168" s="141">
        <f t="shared" si="5"/>
        <v>0.42999999999999988</v>
      </c>
      <c r="K168" s="141">
        <f t="shared" si="6"/>
        <v>2325.8400000000006</v>
      </c>
    </row>
    <row r="169" spans="1:11">
      <c r="A169" s="141">
        <v>169</v>
      </c>
      <c r="B169" s="142">
        <v>42262</v>
      </c>
      <c r="C169" s="149">
        <v>16.2</v>
      </c>
      <c r="D169" s="141">
        <v>2783.7000000000012</v>
      </c>
      <c r="E169" s="141"/>
      <c r="F169" s="141"/>
      <c r="G169" s="141"/>
      <c r="H169" s="141"/>
      <c r="J169" s="141">
        <f t="shared" si="5"/>
        <v>0.37000000000000011</v>
      </c>
      <c r="K169" s="141">
        <f t="shared" si="6"/>
        <v>2334.7200000000007</v>
      </c>
    </row>
    <row r="170" spans="1:11">
      <c r="A170" s="141">
        <v>170</v>
      </c>
      <c r="B170" s="142">
        <v>42263</v>
      </c>
      <c r="C170" s="149">
        <v>18.600000000000001</v>
      </c>
      <c r="D170" s="141">
        <v>2802.3000000000011</v>
      </c>
      <c r="E170" s="141"/>
      <c r="F170" s="141"/>
      <c r="G170" s="141"/>
      <c r="H170" s="141"/>
      <c r="J170" s="141">
        <f t="shared" si="5"/>
        <v>0.25</v>
      </c>
      <c r="K170" s="141">
        <f t="shared" si="6"/>
        <v>2340.7200000000007</v>
      </c>
    </row>
    <row r="171" spans="1:11">
      <c r="A171" s="141">
        <v>171</v>
      </c>
      <c r="B171" s="142">
        <v>42264</v>
      </c>
      <c r="C171" s="149">
        <v>20.7</v>
      </c>
      <c r="D171" s="141">
        <v>2823.0000000000009</v>
      </c>
      <c r="E171" s="141"/>
      <c r="F171" s="141"/>
      <c r="G171" s="141"/>
      <c r="H171" s="141"/>
      <c r="J171" s="141">
        <f t="shared" si="5"/>
        <v>0.25</v>
      </c>
      <c r="K171" s="141">
        <f t="shared" si="6"/>
        <v>2346.7200000000007</v>
      </c>
    </row>
    <row r="172" spans="1:11">
      <c r="A172" s="141">
        <v>172</v>
      </c>
      <c r="B172" s="142">
        <v>42265</v>
      </c>
      <c r="C172" s="149">
        <v>15.8</v>
      </c>
      <c r="D172" s="141">
        <v>2838.8000000000011</v>
      </c>
      <c r="E172" s="141"/>
      <c r="F172" s="141"/>
      <c r="G172" s="141"/>
      <c r="H172" s="141"/>
      <c r="J172" s="141">
        <f t="shared" si="5"/>
        <v>0.42999999999999988</v>
      </c>
      <c r="K172" s="141">
        <f t="shared" si="6"/>
        <v>2357.0400000000009</v>
      </c>
    </row>
    <row r="173" spans="1:11">
      <c r="A173" s="141">
        <v>173</v>
      </c>
      <c r="B173" s="142">
        <v>42266</v>
      </c>
      <c r="C173" s="149">
        <v>15.7</v>
      </c>
      <c r="D173" s="141">
        <v>2854.5000000000009</v>
      </c>
      <c r="E173" s="141"/>
      <c r="F173" s="141"/>
      <c r="G173" s="141"/>
      <c r="H173" s="141"/>
      <c r="J173" s="141">
        <f t="shared" si="5"/>
        <v>0.44500000000000012</v>
      </c>
      <c r="K173" s="141">
        <f t="shared" si="6"/>
        <v>2367.7200000000007</v>
      </c>
    </row>
    <row r="174" spans="1:11">
      <c r="A174" s="141">
        <v>174</v>
      </c>
      <c r="B174" s="142">
        <v>42267</v>
      </c>
      <c r="C174" s="149">
        <v>13.3</v>
      </c>
      <c r="D174" s="141">
        <v>2867.8000000000011</v>
      </c>
      <c r="E174" s="141"/>
      <c r="F174" s="141"/>
      <c r="G174" s="141"/>
      <c r="H174" s="141"/>
      <c r="J174" s="141">
        <f t="shared" si="5"/>
        <v>0.80499999999999994</v>
      </c>
      <c r="K174" s="141">
        <f t="shared" si="6"/>
        <v>2387.0400000000009</v>
      </c>
    </row>
    <row r="175" spans="1:11">
      <c r="A175" s="141">
        <v>175</v>
      </c>
      <c r="B175" s="142">
        <v>42268</v>
      </c>
      <c r="C175" s="149">
        <v>13</v>
      </c>
      <c r="D175" s="141">
        <v>2880.8000000000011</v>
      </c>
      <c r="E175" s="141"/>
      <c r="F175" s="141"/>
      <c r="G175" s="141"/>
      <c r="H175" s="141"/>
      <c r="J175" s="141">
        <f t="shared" si="5"/>
        <v>0.85</v>
      </c>
      <c r="K175" s="141">
        <f t="shared" si="6"/>
        <v>2407.440000000001</v>
      </c>
    </row>
    <row r="176" spans="1:11">
      <c r="A176" s="141">
        <v>176</v>
      </c>
      <c r="B176" s="142">
        <v>42269</v>
      </c>
      <c r="C176" s="149">
        <v>13.899999999999999</v>
      </c>
      <c r="D176" s="141">
        <v>2894.7000000000012</v>
      </c>
      <c r="E176" s="141"/>
      <c r="F176" s="141"/>
      <c r="G176" s="141"/>
      <c r="H176" s="141"/>
      <c r="J176" s="141">
        <f t="shared" si="5"/>
        <v>0.71500000000000019</v>
      </c>
      <c r="K176" s="141">
        <f t="shared" si="6"/>
        <v>2424.6000000000008</v>
      </c>
    </row>
    <row r="177" spans="1:11">
      <c r="A177" s="141">
        <v>177</v>
      </c>
      <c r="B177" s="142">
        <v>42270</v>
      </c>
      <c r="C177" s="149">
        <v>13.100000000000001</v>
      </c>
      <c r="D177" s="141">
        <v>2907.8000000000011</v>
      </c>
      <c r="E177" s="141"/>
      <c r="F177" s="141"/>
      <c r="G177" s="141"/>
      <c r="H177" s="141"/>
      <c r="J177" s="141">
        <f t="shared" si="5"/>
        <v>0.83499999999999974</v>
      </c>
      <c r="K177" s="141">
        <f t="shared" si="6"/>
        <v>2444.6400000000008</v>
      </c>
    </row>
    <row r="178" spans="1:11">
      <c r="A178" s="141">
        <v>178</v>
      </c>
      <c r="B178" s="142">
        <v>42271</v>
      </c>
      <c r="C178" s="149">
        <v>12.5</v>
      </c>
      <c r="D178" s="141">
        <v>2920.3000000000011</v>
      </c>
      <c r="E178" s="141"/>
      <c r="F178" s="141"/>
      <c r="G178" s="141"/>
      <c r="H178" s="141"/>
      <c r="J178" s="141">
        <f t="shared" si="5"/>
        <v>0.92500000000000004</v>
      </c>
      <c r="K178" s="141">
        <f t="shared" si="6"/>
        <v>2466.8400000000006</v>
      </c>
    </row>
    <row r="179" spans="1:11">
      <c r="A179" s="141">
        <v>179</v>
      </c>
      <c r="B179" s="142">
        <v>42272</v>
      </c>
      <c r="C179" s="149">
        <v>13.600000000000001</v>
      </c>
      <c r="D179" s="141">
        <v>2933.900000000001</v>
      </c>
      <c r="E179" s="141"/>
      <c r="F179" s="141"/>
      <c r="G179" s="141"/>
      <c r="H179" s="141"/>
      <c r="J179" s="141">
        <f t="shared" si="5"/>
        <v>0.75999999999999979</v>
      </c>
      <c r="K179" s="141">
        <f t="shared" si="6"/>
        <v>2485.0800000000004</v>
      </c>
    </row>
    <row r="180" spans="1:11">
      <c r="A180" s="141">
        <v>180</v>
      </c>
      <c r="B180" s="142">
        <v>42273</v>
      </c>
      <c r="C180" s="149">
        <v>14</v>
      </c>
      <c r="D180" s="141">
        <v>2947.900000000001</v>
      </c>
      <c r="E180" s="141"/>
      <c r="F180" s="141"/>
      <c r="G180" s="141"/>
      <c r="H180" s="141"/>
      <c r="J180" s="141">
        <f t="shared" si="5"/>
        <v>0.7</v>
      </c>
      <c r="K180" s="141">
        <f t="shared" si="6"/>
        <v>2501.8800000000006</v>
      </c>
    </row>
    <row r="181" spans="1:11">
      <c r="A181" s="141">
        <v>181</v>
      </c>
      <c r="B181" s="142">
        <v>42274</v>
      </c>
      <c r="C181" s="149">
        <v>12</v>
      </c>
      <c r="D181" s="141">
        <v>2959.900000000001</v>
      </c>
      <c r="E181" s="141"/>
      <c r="F181" s="141"/>
      <c r="G181" s="141"/>
      <c r="H181" s="141"/>
      <c r="J181" s="141">
        <f t="shared" si="5"/>
        <v>1</v>
      </c>
      <c r="K181" s="141">
        <f t="shared" si="6"/>
        <v>2525.8800000000006</v>
      </c>
    </row>
    <row r="182" spans="1:11">
      <c r="A182" s="141">
        <v>182</v>
      </c>
      <c r="B182" s="142">
        <v>42275</v>
      </c>
      <c r="C182" s="149">
        <v>12.100000000000001</v>
      </c>
      <c r="D182" s="141">
        <v>2972.0000000000009</v>
      </c>
      <c r="E182" s="141"/>
      <c r="F182" s="141"/>
      <c r="G182" s="141"/>
      <c r="H182" s="141"/>
      <c r="J182" s="141">
        <f t="shared" si="5"/>
        <v>0.98499999999999976</v>
      </c>
      <c r="K182" s="141">
        <f t="shared" si="6"/>
        <v>2549.5200000000004</v>
      </c>
    </row>
    <row r="183" spans="1:11">
      <c r="A183" s="141">
        <v>183</v>
      </c>
      <c r="B183" s="142">
        <v>42276</v>
      </c>
      <c r="C183" s="149">
        <v>11.3</v>
      </c>
      <c r="D183" s="141">
        <v>2983.3000000000011</v>
      </c>
      <c r="E183" s="141"/>
      <c r="F183" s="141"/>
      <c r="G183" s="141"/>
      <c r="H183" s="141"/>
      <c r="J183" s="141">
        <f t="shared" si="5"/>
        <v>1.105</v>
      </c>
      <c r="K183" s="141">
        <f t="shared" si="6"/>
        <v>2576.0400000000004</v>
      </c>
    </row>
    <row r="184" spans="1:11">
      <c r="A184" s="141">
        <v>184</v>
      </c>
      <c r="B184" s="142">
        <v>42277</v>
      </c>
      <c r="C184" s="149">
        <v>9.8000000000000007</v>
      </c>
      <c r="D184" s="141">
        <v>2993.1000000000013</v>
      </c>
      <c r="E184" s="141"/>
      <c r="F184" s="141"/>
      <c r="G184" s="141"/>
      <c r="H184" s="141"/>
      <c r="J184" s="141">
        <f t="shared" si="5"/>
        <v>1.3299999999999998</v>
      </c>
      <c r="K184" s="141">
        <f t="shared" si="6"/>
        <v>2607.9600000000005</v>
      </c>
    </row>
    <row r="185" spans="1:11">
      <c r="A185" s="141">
        <v>185</v>
      </c>
      <c r="B185" s="142">
        <v>42278</v>
      </c>
      <c r="C185" s="149">
        <v>8.3000000000000007</v>
      </c>
      <c r="D185" s="141">
        <v>3001.4000000000015</v>
      </c>
      <c r="E185" s="141"/>
      <c r="F185" s="141"/>
      <c r="G185" s="141"/>
      <c r="H185" s="141"/>
      <c r="J185" s="141">
        <f t="shared" si="5"/>
        <v>1.5549999999999999</v>
      </c>
      <c r="K185" s="141">
        <f t="shared" si="6"/>
        <v>2645.2800000000007</v>
      </c>
    </row>
    <row r="186" spans="1:11">
      <c r="A186" s="141">
        <v>186</v>
      </c>
      <c r="B186" s="142">
        <v>42279</v>
      </c>
      <c r="C186" s="149">
        <v>10.8</v>
      </c>
      <c r="D186" s="141">
        <v>3012.2000000000016</v>
      </c>
      <c r="E186" s="141"/>
      <c r="F186" s="141"/>
      <c r="G186" s="141"/>
      <c r="H186" s="141"/>
      <c r="J186" s="141">
        <f t="shared" si="5"/>
        <v>1.18</v>
      </c>
      <c r="K186" s="141">
        <f t="shared" si="6"/>
        <v>2673.6000000000008</v>
      </c>
    </row>
    <row r="187" spans="1:11">
      <c r="A187" s="141">
        <v>187</v>
      </c>
      <c r="B187" s="142">
        <v>42280</v>
      </c>
      <c r="C187" s="149">
        <v>13</v>
      </c>
      <c r="D187" s="141">
        <v>3025.2000000000016</v>
      </c>
      <c r="E187" s="141"/>
      <c r="F187" s="141"/>
      <c r="G187" s="141"/>
      <c r="H187" s="141"/>
      <c r="J187" s="141">
        <f t="shared" si="5"/>
        <v>0.85</v>
      </c>
      <c r="K187" s="141">
        <f t="shared" si="6"/>
        <v>2694.0000000000009</v>
      </c>
    </row>
    <row r="188" spans="1:11">
      <c r="A188" s="141">
        <v>188</v>
      </c>
      <c r="B188" s="142">
        <v>42281</v>
      </c>
      <c r="C188" s="149">
        <v>13.3</v>
      </c>
      <c r="D188" s="141">
        <v>3038.5000000000018</v>
      </c>
      <c r="E188" s="141"/>
      <c r="F188" s="141"/>
      <c r="G188" s="141"/>
      <c r="H188" s="141"/>
      <c r="J188" s="141">
        <f t="shared" si="5"/>
        <v>0.80499999999999994</v>
      </c>
      <c r="K188" s="141">
        <f t="shared" si="6"/>
        <v>2713.3200000000011</v>
      </c>
    </row>
    <row r="189" spans="1:11">
      <c r="A189" s="141">
        <v>189</v>
      </c>
      <c r="B189" s="142">
        <v>42282</v>
      </c>
      <c r="C189" s="149">
        <v>14</v>
      </c>
      <c r="D189" s="141">
        <v>3052.5000000000018</v>
      </c>
      <c r="E189" s="141"/>
      <c r="F189" s="141"/>
      <c r="G189" s="141"/>
      <c r="H189" s="141"/>
      <c r="J189" s="141">
        <f t="shared" si="5"/>
        <v>0.7</v>
      </c>
      <c r="K189" s="141">
        <f t="shared" si="6"/>
        <v>2730.1200000000013</v>
      </c>
    </row>
    <row r="190" spans="1:11">
      <c r="A190" s="141">
        <v>190</v>
      </c>
      <c r="B190" s="142">
        <v>42283</v>
      </c>
      <c r="C190" s="149">
        <v>13.399999999999999</v>
      </c>
      <c r="D190" s="141">
        <v>3065.9000000000019</v>
      </c>
      <c r="E190" s="141"/>
      <c r="F190" s="141"/>
      <c r="G190" s="141"/>
      <c r="H190" s="141"/>
      <c r="J190" s="141">
        <f t="shared" si="5"/>
        <v>0.79000000000000026</v>
      </c>
      <c r="K190" s="141">
        <f t="shared" si="6"/>
        <v>2749.0800000000013</v>
      </c>
    </row>
    <row r="191" spans="1:11">
      <c r="A191" s="141">
        <v>191</v>
      </c>
      <c r="B191" s="142">
        <v>42284</v>
      </c>
      <c r="C191" s="149">
        <v>14.2</v>
      </c>
      <c r="D191" s="141">
        <v>3080.1000000000017</v>
      </c>
      <c r="E191" s="141"/>
      <c r="F191" s="141"/>
      <c r="G191" s="141"/>
      <c r="H191" s="141"/>
      <c r="J191" s="141">
        <f t="shared" si="5"/>
        <v>0.67000000000000015</v>
      </c>
      <c r="K191" s="141">
        <f t="shared" si="6"/>
        <v>2765.1600000000012</v>
      </c>
    </row>
    <row r="192" spans="1:11">
      <c r="A192" s="141">
        <v>192</v>
      </c>
      <c r="B192" s="142">
        <v>42285</v>
      </c>
      <c r="C192" s="149">
        <v>13</v>
      </c>
      <c r="D192" s="141">
        <v>3093.1000000000017</v>
      </c>
      <c r="E192" s="141"/>
      <c r="F192" s="141"/>
      <c r="G192" s="141"/>
      <c r="H192" s="141"/>
      <c r="J192" s="141">
        <f t="shared" si="5"/>
        <v>0.85</v>
      </c>
      <c r="K192" s="141">
        <f t="shared" si="6"/>
        <v>2785.5600000000013</v>
      </c>
    </row>
    <row r="193" spans="1:11">
      <c r="A193" s="141">
        <v>193</v>
      </c>
      <c r="B193" s="142">
        <v>42286</v>
      </c>
      <c r="C193" s="149">
        <v>10.7</v>
      </c>
      <c r="D193" s="141">
        <v>3103.8000000000015</v>
      </c>
      <c r="E193" s="141"/>
      <c r="F193" s="141"/>
      <c r="G193" s="141"/>
      <c r="H193" s="141"/>
      <c r="J193" s="141">
        <f t="shared" si="5"/>
        <v>1.1950000000000001</v>
      </c>
      <c r="K193" s="141">
        <f t="shared" si="6"/>
        <v>2814.2400000000011</v>
      </c>
    </row>
    <row r="194" spans="1:11">
      <c r="A194" s="141">
        <v>194</v>
      </c>
      <c r="B194" s="142">
        <v>42287</v>
      </c>
      <c r="C194" s="149">
        <v>8.3999999999999986</v>
      </c>
      <c r="D194" s="141">
        <v>3112.2000000000016</v>
      </c>
      <c r="E194" s="141"/>
      <c r="F194" s="141"/>
      <c r="G194" s="141"/>
      <c r="H194" s="141"/>
      <c r="J194" s="141">
        <f t="shared" si="5"/>
        <v>1.54</v>
      </c>
      <c r="K194" s="141">
        <f t="shared" si="6"/>
        <v>2851.2000000000012</v>
      </c>
    </row>
    <row r="195" spans="1:11">
      <c r="A195" s="141">
        <v>195</v>
      </c>
      <c r="B195" s="142">
        <v>42288</v>
      </c>
      <c r="C195" s="149">
        <v>5.5</v>
      </c>
      <c r="D195" s="141">
        <v>3117.7000000000016</v>
      </c>
      <c r="E195" s="141"/>
      <c r="F195" s="141"/>
      <c r="G195" s="141"/>
      <c r="H195" s="141"/>
      <c r="J195" s="141">
        <f t="shared" si="5"/>
        <v>1.9750000000000001</v>
      </c>
      <c r="K195" s="141">
        <f t="shared" si="6"/>
        <v>2898.6000000000013</v>
      </c>
    </row>
    <row r="196" spans="1:11">
      <c r="A196" s="141">
        <v>196</v>
      </c>
      <c r="B196" s="142">
        <v>42289</v>
      </c>
      <c r="C196" s="149">
        <v>3</v>
      </c>
      <c r="D196" s="141">
        <v>3120.7000000000016</v>
      </c>
      <c r="E196" s="141"/>
      <c r="F196" s="141"/>
      <c r="G196" s="141"/>
      <c r="H196" s="141"/>
      <c r="J196" s="141">
        <f t="shared" si="5"/>
        <v>2.35</v>
      </c>
      <c r="K196" s="141">
        <f t="shared" si="6"/>
        <v>2955.0000000000014</v>
      </c>
    </row>
    <row r="197" spans="1:11">
      <c r="A197" s="141">
        <v>197</v>
      </c>
      <c r="B197" s="142">
        <v>42290</v>
      </c>
      <c r="C197" s="149">
        <v>2.1000000000000014</v>
      </c>
      <c r="D197" s="141">
        <v>3122.8000000000015</v>
      </c>
      <c r="E197" s="141"/>
      <c r="F197" s="141"/>
      <c r="G197" s="141"/>
      <c r="H197" s="141"/>
      <c r="J197" s="141">
        <f t="shared" si="5"/>
        <v>2.4849999999999999</v>
      </c>
      <c r="K197" s="141">
        <f t="shared" si="6"/>
        <v>3014.6400000000012</v>
      </c>
    </row>
    <row r="198" spans="1:11">
      <c r="A198" s="141">
        <v>198</v>
      </c>
      <c r="B198" s="142">
        <v>42291</v>
      </c>
      <c r="C198" s="149">
        <v>4.6999999999999993</v>
      </c>
      <c r="D198" s="141">
        <v>3127.5000000000014</v>
      </c>
      <c r="E198" s="141"/>
      <c r="F198" s="141"/>
      <c r="G198" s="141"/>
      <c r="H198" s="141"/>
      <c r="J198" s="141">
        <f t="shared" si="5"/>
        <v>2.0949999999999998</v>
      </c>
      <c r="K198" s="141">
        <f t="shared" si="6"/>
        <v>3064.9200000000014</v>
      </c>
    </row>
    <row r="199" spans="1:11">
      <c r="A199" s="141">
        <v>199</v>
      </c>
      <c r="B199" s="142">
        <v>42292</v>
      </c>
      <c r="C199" s="149">
        <v>8.3999999999999986</v>
      </c>
      <c r="D199" s="141">
        <v>3135.9000000000015</v>
      </c>
      <c r="E199" s="141"/>
      <c r="F199" s="141"/>
      <c r="G199" s="141"/>
      <c r="H199" s="141"/>
      <c r="J199" s="141">
        <f t="shared" ref="J199:J262" si="7">J$1+(IF(J$3-$C199&gt;0,J$3-$C199,0)*J$2/30)</f>
        <v>1.54</v>
      </c>
      <c r="K199" s="141">
        <f t="shared" ref="K199:K262" si="8">K198+J199*24</f>
        <v>3101.8800000000015</v>
      </c>
    </row>
    <row r="200" spans="1:11">
      <c r="A200" s="141">
        <v>200</v>
      </c>
      <c r="B200" s="142">
        <v>42293</v>
      </c>
      <c r="C200" s="149">
        <v>8.5</v>
      </c>
      <c r="D200" s="141">
        <v>3144.4000000000015</v>
      </c>
      <c r="E200" s="141"/>
      <c r="F200" s="141"/>
      <c r="G200" s="141"/>
      <c r="H200" s="141"/>
      <c r="J200" s="141">
        <f t="shared" si="7"/>
        <v>1.5249999999999999</v>
      </c>
      <c r="K200" s="141">
        <f t="shared" si="8"/>
        <v>3138.4800000000014</v>
      </c>
    </row>
    <row r="201" spans="1:11">
      <c r="A201" s="141">
        <v>201</v>
      </c>
      <c r="B201" s="142">
        <v>42294</v>
      </c>
      <c r="C201" s="149">
        <v>6.6000000000000014</v>
      </c>
      <c r="D201" s="141">
        <v>3151.0000000000014</v>
      </c>
      <c r="E201" s="141"/>
      <c r="F201" s="141"/>
      <c r="G201" s="141"/>
      <c r="H201" s="141"/>
      <c r="J201" s="141">
        <f t="shared" si="7"/>
        <v>1.8099999999999998</v>
      </c>
      <c r="K201" s="141">
        <f t="shared" si="8"/>
        <v>3181.9200000000014</v>
      </c>
    </row>
    <row r="202" spans="1:11">
      <c r="A202" s="141">
        <v>202</v>
      </c>
      <c r="B202" s="142">
        <v>42295</v>
      </c>
      <c r="C202" s="149">
        <v>4.8999999999999986</v>
      </c>
      <c r="D202" s="141">
        <v>3155.9000000000015</v>
      </c>
      <c r="E202" s="141"/>
      <c r="F202" s="141"/>
      <c r="G202" s="141"/>
      <c r="H202" s="141"/>
      <c r="J202" s="141">
        <f t="shared" si="7"/>
        <v>2.0650000000000004</v>
      </c>
      <c r="K202" s="141">
        <f t="shared" si="8"/>
        <v>3231.4800000000014</v>
      </c>
    </row>
    <row r="203" spans="1:11">
      <c r="A203" s="141">
        <v>203</v>
      </c>
      <c r="B203" s="142">
        <v>42296</v>
      </c>
      <c r="C203" s="149">
        <v>7.6000000000000014</v>
      </c>
      <c r="D203" s="141">
        <v>3163.5000000000014</v>
      </c>
      <c r="E203" s="141"/>
      <c r="F203" s="141"/>
      <c r="G203" s="141"/>
      <c r="H203" s="141"/>
      <c r="J203" s="141">
        <f t="shared" si="7"/>
        <v>1.66</v>
      </c>
      <c r="K203" s="141">
        <f t="shared" si="8"/>
        <v>3271.3200000000015</v>
      </c>
    </row>
    <row r="204" spans="1:11">
      <c r="A204" s="141">
        <v>204</v>
      </c>
      <c r="B204" s="142">
        <v>42297</v>
      </c>
      <c r="C204" s="149">
        <v>6.3999999999999986</v>
      </c>
      <c r="D204" s="141">
        <v>3169.9000000000015</v>
      </c>
      <c r="E204" s="141"/>
      <c r="F204" s="141"/>
      <c r="G204" s="141"/>
      <c r="H204" s="141"/>
      <c r="J204" s="141">
        <f t="shared" si="7"/>
        <v>1.84</v>
      </c>
      <c r="K204" s="141">
        <f t="shared" si="8"/>
        <v>3315.4800000000014</v>
      </c>
    </row>
    <row r="205" spans="1:11">
      <c r="A205" s="141">
        <v>205</v>
      </c>
      <c r="B205" s="142">
        <v>42298</v>
      </c>
      <c r="C205" s="149">
        <v>8.5</v>
      </c>
      <c r="D205" s="141">
        <v>3178.4000000000015</v>
      </c>
      <c r="E205" s="141"/>
      <c r="F205" s="141"/>
      <c r="G205" s="141"/>
      <c r="H205" s="141"/>
      <c r="J205" s="141">
        <f t="shared" si="7"/>
        <v>1.5249999999999999</v>
      </c>
      <c r="K205" s="141">
        <f t="shared" si="8"/>
        <v>3352.0800000000013</v>
      </c>
    </row>
    <row r="206" spans="1:11">
      <c r="A206" s="141">
        <v>206</v>
      </c>
      <c r="B206" s="142">
        <v>42299</v>
      </c>
      <c r="C206" s="149">
        <v>9.3000000000000007</v>
      </c>
      <c r="D206" s="141">
        <v>3187.7000000000016</v>
      </c>
      <c r="E206" s="141"/>
      <c r="F206" s="141"/>
      <c r="G206" s="141"/>
      <c r="H206" s="141"/>
      <c r="J206" s="141">
        <f t="shared" si="7"/>
        <v>1.405</v>
      </c>
      <c r="K206" s="141">
        <f t="shared" si="8"/>
        <v>3385.8000000000011</v>
      </c>
    </row>
    <row r="207" spans="1:11">
      <c r="A207" s="141">
        <v>207</v>
      </c>
      <c r="B207" s="142">
        <v>42300</v>
      </c>
      <c r="C207" s="149">
        <v>10.100000000000001</v>
      </c>
      <c r="D207" s="141">
        <v>3197.8000000000015</v>
      </c>
      <c r="E207" s="141"/>
      <c r="F207" s="141"/>
      <c r="G207" s="141"/>
      <c r="H207" s="141"/>
      <c r="J207" s="141">
        <f t="shared" si="7"/>
        <v>1.2849999999999997</v>
      </c>
      <c r="K207" s="141">
        <f t="shared" si="8"/>
        <v>3416.6400000000012</v>
      </c>
    </row>
    <row r="208" spans="1:11">
      <c r="A208" s="141">
        <v>208</v>
      </c>
      <c r="B208" s="142">
        <v>42301</v>
      </c>
      <c r="C208" s="149">
        <v>5.8999999999999986</v>
      </c>
      <c r="D208" s="141">
        <v>3203.7000000000016</v>
      </c>
      <c r="E208" s="141"/>
      <c r="F208" s="141"/>
      <c r="G208" s="141"/>
      <c r="H208" s="141"/>
      <c r="J208" s="141">
        <f t="shared" si="7"/>
        <v>1.915</v>
      </c>
      <c r="K208" s="141">
        <f t="shared" si="8"/>
        <v>3462.6000000000013</v>
      </c>
    </row>
    <row r="209" spans="1:11">
      <c r="A209" s="141">
        <v>209</v>
      </c>
      <c r="B209" s="142">
        <v>42302</v>
      </c>
      <c r="C209" s="149">
        <v>6.8999999999999986</v>
      </c>
      <c r="D209" s="141">
        <v>3210.6000000000017</v>
      </c>
      <c r="E209" s="141"/>
      <c r="F209" s="141"/>
      <c r="G209" s="141"/>
      <c r="H209" s="141"/>
      <c r="J209" s="141">
        <f t="shared" si="7"/>
        <v>1.7650000000000001</v>
      </c>
      <c r="K209" s="141">
        <f t="shared" si="8"/>
        <v>3504.9600000000014</v>
      </c>
    </row>
    <row r="210" spans="1:11">
      <c r="A210" s="141">
        <v>210</v>
      </c>
      <c r="B210" s="142">
        <v>42303</v>
      </c>
      <c r="C210" s="149">
        <v>8.6999999999999993</v>
      </c>
      <c r="D210" s="141">
        <v>3219.3000000000015</v>
      </c>
      <c r="E210" s="141"/>
      <c r="F210" s="141"/>
      <c r="G210" s="141"/>
      <c r="H210" s="141"/>
      <c r="J210" s="141">
        <f t="shared" si="7"/>
        <v>1.4950000000000001</v>
      </c>
      <c r="K210" s="141">
        <f t="shared" si="8"/>
        <v>3540.8400000000015</v>
      </c>
    </row>
    <row r="211" spans="1:11">
      <c r="A211" s="141">
        <v>211</v>
      </c>
      <c r="B211" s="142">
        <v>42304</v>
      </c>
      <c r="C211" s="149">
        <v>8.3999999999999986</v>
      </c>
      <c r="D211" s="141">
        <v>3227.7000000000016</v>
      </c>
      <c r="E211" s="141"/>
      <c r="F211" s="141"/>
      <c r="G211" s="141"/>
      <c r="H211" s="141"/>
      <c r="J211" s="141">
        <f t="shared" si="7"/>
        <v>1.54</v>
      </c>
      <c r="K211" s="141">
        <f t="shared" si="8"/>
        <v>3577.8000000000015</v>
      </c>
    </row>
    <row r="212" spans="1:11">
      <c r="A212" s="141">
        <v>212</v>
      </c>
      <c r="B212" s="142">
        <v>42305</v>
      </c>
      <c r="C212" s="149">
        <v>8.1000000000000014</v>
      </c>
      <c r="D212" s="141">
        <v>3235.8000000000015</v>
      </c>
      <c r="E212" s="141"/>
      <c r="F212" s="141"/>
      <c r="G212" s="141"/>
      <c r="H212" s="141"/>
      <c r="J212" s="141">
        <f t="shared" si="7"/>
        <v>1.585</v>
      </c>
      <c r="K212" s="141">
        <f t="shared" si="8"/>
        <v>3615.8400000000015</v>
      </c>
    </row>
    <row r="213" spans="1:11">
      <c r="A213" s="141">
        <v>213</v>
      </c>
      <c r="B213" s="142">
        <v>42306</v>
      </c>
      <c r="C213" s="149">
        <v>8.6000000000000014</v>
      </c>
      <c r="D213" s="141">
        <v>3244.4000000000015</v>
      </c>
      <c r="E213" s="141"/>
      <c r="F213" s="141"/>
      <c r="G213" s="141"/>
      <c r="H213" s="141"/>
      <c r="J213" s="141">
        <f t="shared" si="7"/>
        <v>1.51</v>
      </c>
      <c r="K213" s="141">
        <f t="shared" si="8"/>
        <v>3652.0800000000013</v>
      </c>
    </row>
    <row r="214" spans="1:11">
      <c r="A214" s="141">
        <v>214</v>
      </c>
      <c r="B214" s="142">
        <v>42307</v>
      </c>
      <c r="C214" s="149">
        <v>9</v>
      </c>
      <c r="D214" s="141">
        <v>3253.4000000000015</v>
      </c>
      <c r="E214" s="141"/>
      <c r="F214" s="141"/>
      <c r="G214" s="141"/>
      <c r="H214" s="141"/>
      <c r="J214" s="141">
        <f t="shared" si="7"/>
        <v>1.45</v>
      </c>
      <c r="K214" s="141">
        <f t="shared" si="8"/>
        <v>3686.8800000000015</v>
      </c>
    </row>
    <row r="215" spans="1:11">
      <c r="A215" s="141">
        <v>215</v>
      </c>
      <c r="B215" s="142">
        <v>42308</v>
      </c>
      <c r="C215" s="149">
        <v>9</v>
      </c>
      <c r="D215" s="141">
        <v>3262.4000000000015</v>
      </c>
      <c r="E215" s="141"/>
      <c r="F215" s="141"/>
      <c r="G215" s="141"/>
      <c r="H215" s="141"/>
      <c r="J215" s="141">
        <f t="shared" si="7"/>
        <v>1.45</v>
      </c>
      <c r="K215" s="141">
        <f t="shared" si="8"/>
        <v>3721.6800000000017</v>
      </c>
    </row>
    <row r="216" spans="1:11">
      <c r="A216" s="141">
        <v>216</v>
      </c>
      <c r="B216" s="142">
        <v>42309</v>
      </c>
      <c r="C216" s="149">
        <v>7.3999999999999986</v>
      </c>
      <c r="D216" s="141">
        <v>3269.8000000000015</v>
      </c>
      <c r="E216" s="141"/>
      <c r="F216" s="141"/>
      <c r="G216" s="141"/>
      <c r="H216" s="141"/>
      <c r="J216" s="141">
        <f t="shared" si="7"/>
        <v>1.6900000000000002</v>
      </c>
      <c r="K216" s="141">
        <f t="shared" si="8"/>
        <v>3762.2400000000016</v>
      </c>
    </row>
    <row r="217" spans="1:11">
      <c r="A217" s="141">
        <v>217</v>
      </c>
      <c r="B217" s="142">
        <v>42310</v>
      </c>
      <c r="C217" s="149">
        <v>3.6999999999999993</v>
      </c>
      <c r="D217" s="141">
        <v>3273.5000000000014</v>
      </c>
      <c r="E217" s="141"/>
      <c r="F217" s="141"/>
      <c r="G217" s="141"/>
      <c r="H217" s="141"/>
      <c r="J217" s="141">
        <f t="shared" si="7"/>
        <v>2.2450000000000001</v>
      </c>
      <c r="K217" s="141">
        <f t="shared" si="8"/>
        <v>3816.1200000000017</v>
      </c>
    </row>
    <row r="218" spans="1:11">
      <c r="A218" s="141">
        <v>218</v>
      </c>
      <c r="B218" s="142">
        <v>42311</v>
      </c>
      <c r="C218" s="149">
        <v>1.6000000000000014</v>
      </c>
      <c r="D218" s="141">
        <v>3275.1000000000013</v>
      </c>
      <c r="E218" s="141"/>
      <c r="F218" s="141"/>
      <c r="G218" s="141"/>
      <c r="H218" s="141"/>
      <c r="J218" s="141">
        <f t="shared" si="7"/>
        <v>2.56</v>
      </c>
      <c r="K218" s="141">
        <f t="shared" si="8"/>
        <v>3877.5600000000018</v>
      </c>
    </row>
    <row r="219" spans="1:11">
      <c r="A219" s="141">
        <v>219</v>
      </c>
      <c r="B219" s="142">
        <v>42312</v>
      </c>
      <c r="C219" s="149">
        <v>1.6000000000000014</v>
      </c>
      <c r="D219" s="141">
        <v>3276.7000000000012</v>
      </c>
      <c r="E219" s="141"/>
      <c r="F219" s="141"/>
      <c r="G219" s="141"/>
      <c r="H219" s="141"/>
      <c r="J219" s="141">
        <f t="shared" si="7"/>
        <v>2.56</v>
      </c>
      <c r="K219" s="141">
        <f t="shared" si="8"/>
        <v>3939.0000000000018</v>
      </c>
    </row>
    <row r="220" spans="1:11">
      <c r="A220" s="141">
        <v>220</v>
      </c>
      <c r="B220" s="142">
        <v>42313</v>
      </c>
      <c r="C220" s="149">
        <v>7.1999999999999993</v>
      </c>
      <c r="D220" s="141">
        <v>3283.900000000001</v>
      </c>
      <c r="E220" s="141"/>
      <c r="F220" s="141"/>
      <c r="G220" s="141"/>
      <c r="H220" s="141"/>
      <c r="J220" s="141">
        <f t="shared" si="7"/>
        <v>1.72</v>
      </c>
      <c r="K220" s="141">
        <f t="shared" si="8"/>
        <v>3980.280000000002</v>
      </c>
    </row>
    <row r="221" spans="1:11">
      <c r="A221" s="141">
        <v>221</v>
      </c>
      <c r="B221" s="142">
        <v>42314</v>
      </c>
      <c r="C221" s="149">
        <v>8.1000000000000014</v>
      </c>
      <c r="D221" s="141">
        <v>3292.0000000000009</v>
      </c>
      <c r="E221" s="141"/>
      <c r="F221" s="141"/>
      <c r="G221" s="141"/>
      <c r="H221" s="141"/>
      <c r="J221" s="141">
        <f t="shared" si="7"/>
        <v>1.585</v>
      </c>
      <c r="K221" s="141">
        <f t="shared" si="8"/>
        <v>4018.320000000002</v>
      </c>
    </row>
    <row r="222" spans="1:11">
      <c r="A222" s="141">
        <v>222</v>
      </c>
      <c r="B222" s="142">
        <v>42315</v>
      </c>
      <c r="C222" s="149">
        <v>13.5</v>
      </c>
      <c r="D222" s="141">
        <v>3305.5000000000009</v>
      </c>
      <c r="E222" s="141"/>
      <c r="F222" s="141"/>
      <c r="G222" s="141"/>
      <c r="H222" s="141"/>
      <c r="J222" s="141">
        <f t="shared" si="7"/>
        <v>0.77500000000000002</v>
      </c>
      <c r="K222" s="141">
        <f t="shared" si="8"/>
        <v>4036.9200000000019</v>
      </c>
    </row>
    <row r="223" spans="1:11">
      <c r="A223" s="141">
        <v>223</v>
      </c>
      <c r="B223" s="142">
        <v>42316</v>
      </c>
      <c r="C223" s="149">
        <v>13.5</v>
      </c>
      <c r="D223" s="141">
        <v>3319.0000000000009</v>
      </c>
      <c r="E223" s="141"/>
      <c r="F223" s="141"/>
      <c r="G223" s="141"/>
      <c r="H223" s="141"/>
      <c r="J223" s="141">
        <f t="shared" si="7"/>
        <v>0.77500000000000002</v>
      </c>
      <c r="K223" s="141">
        <f t="shared" si="8"/>
        <v>4055.5200000000018</v>
      </c>
    </row>
    <row r="224" spans="1:11">
      <c r="A224" s="141">
        <v>224</v>
      </c>
      <c r="B224" s="142">
        <v>42317</v>
      </c>
      <c r="C224" s="149">
        <v>12.100000000000001</v>
      </c>
      <c r="D224" s="141">
        <v>3331.1000000000008</v>
      </c>
      <c r="E224" s="141"/>
      <c r="F224" s="141"/>
      <c r="G224" s="141"/>
      <c r="H224" s="141"/>
      <c r="J224" s="141">
        <f t="shared" si="7"/>
        <v>0.98499999999999976</v>
      </c>
      <c r="K224" s="141">
        <f t="shared" si="8"/>
        <v>4079.1600000000017</v>
      </c>
    </row>
    <row r="225" spans="1:11">
      <c r="A225" s="141">
        <v>225</v>
      </c>
      <c r="B225" s="142">
        <v>42318</v>
      </c>
      <c r="C225" s="149">
        <v>14.8</v>
      </c>
      <c r="D225" s="141">
        <v>3345.900000000001</v>
      </c>
      <c r="E225" s="141"/>
      <c r="F225" s="141"/>
      <c r="G225" s="141"/>
      <c r="H225" s="141"/>
      <c r="J225" s="141">
        <f t="shared" si="7"/>
        <v>0.57999999999999985</v>
      </c>
      <c r="K225" s="141">
        <f t="shared" si="8"/>
        <v>4093.0800000000017</v>
      </c>
    </row>
    <row r="226" spans="1:11">
      <c r="A226" s="141">
        <v>226</v>
      </c>
      <c r="B226" s="142">
        <v>42319</v>
      </c>
      <c r="C226" s="149">
        <v>13</v>
      </c>
      <c r="D226" s="141">
        <v>3358.900000000001</v>
      </c>
      <c r="E226" s="141"/>
      <c r="F226" s="141"/>
      <c r="G226" s="141"/>
      <c r="H226" s="141"/>
      <c r="J226" s="141">
        <f t="shared" si="7"/>
        <v>0.85</v>
      </c>
      <c r="K226" s="141">
        <f t="shared" si="8"/>
        <v>4113.4800000000014</v>
      </c>
    </row>
    <row r="227" spans="1:11">
      <c r="A227" s="141">
        <v>227</v>
      </c>
      <c r="B227" s="142">
        <v>42320</v>
      </c>
      <c r="C227" s="149">
        <v>10</v>
      </c>
      <c r="D227" s="141">
        <v>3368.900000000001</v>
      </c>
      <c r="E227" s="141"/>
      <c r="F227" s="141"/>
      <c r="G227" s="141"/>
      <c r="H227" s="141"/>
      <c r="J227" s="141">
        <f t="shared" si="7"/>
        <v>1.3</v>
      </c>
      <c r="K227" s="141">
        <f t="shared" si="8"/>
        <v>4144.6800000000012</v>
      </c>
    </row>
    <row r="228" spans="1:11">
      <c r="A228" s="141">
        <v>228</v>
      </c>
      <c r="B228" s="142">
        <v>42321</v>
      </c>
      <c r="C228" s="149">
        <v>10.199999999999999</v>
      </c>
      <c r="D228" s="141">
        <v>3379.1000000000008</v>
      </c>
      <c r="E228" s="141"/>
      <c r="F228" s="141"/>
      <c r="G228" s="141"/>
      <c r="H228" s="141"/>
      <c r="J228" s="141">
        <f t="shared" si="7"/>
        <v>1.27</v>
      </c>
      <c r="K228" s="141">
        <f t="shared" si="8"/>
        <v>4175.1600000000008</v>
      </c>
    </row>
    <row r="229" spans="1:11">
      <c r="A229" s="141">
        <v>229</v>
      </c>
      <c r="B229" s="142">
        <v>42322</v>
      </c>
      <c r="C229" s="149">
        <v>7.1999999999999993</v>
      </c>
      <c r="D229" s="141">
        <v>3386.3000000000006</v>
      </c>
      <c r="E229" s="141"/>
      <c r="F229" s="141"/>
      <c r="G229" s="141"/>
      <c r="H229" s="141"/>
      <c r="J229" s="141">
        <f t="shared" si="7"/>
        <v>1.72</v>
      </c>
      <c r="K229" s="141">
        <f t="shared" si="8"/>
        <v>4216.4400000000005</v>
      </c>
    </row>
    <row r="230" spans="1:11">
      <c r="A230" s="141">
        <v>230</v>
      </c>
      <c r="B230" s="142">
        <v>42323</v>
      </c>
      <c r="C230" s="149">
        <v>9.1000000000000014</v>
      </c>
      <c r="D230" s="141">
        <v>3395.4000000000005</v>
      </c>
      <c r="E230" s="141"/>
      <c r="F230" s="141"/>
      <c r="G230" s="141"/>
      <c r="H230" s="141"/>
      <c r="J230" s="141">
        <f t="shared" si="7"/>
        <v>1.4349999999999998</v>
      </c>
      <c r="K230" s="141">
        <f t="shared" si="8"/>
        <v>4250.88</v>
      </c>
    </row>
    <row r="231" spans="1:11">
      <c r="A231" s="141">
        <v>231</v>
      </c>
      <c r="B231" s="142">
        <v>42324</v>
      </c>
      <c r="C231" s="149">
        <v>11.8</v>
      </c>
      <c r="D231" s="141">
        <v>3407.2000000000007</v>
      </c>
      <c r="E231" s="141"/>
      <c r="F231" s="141"/>
      <c r="G231" s="141"/>
      <c r="H231" s="141"/>
      <c r="J231" s="141">
        <f t="shared" si="7"/>
        <v>1.0299999999999998</v>
      </c>
      <c r="K231" s="141">
        <f t="shared" si="8"/>
        <v>4275.6000000000004</v>
      </c>
    </row>
    <row r="232" spans="1:11">
      <c r="A232" s="141">
        <v>232</v>
      </c>
      <c r="B232" s="142">
        <v>42325</v>
      </c>
      <c r="C232" s="149">
        <v>10.7</v>
      </c>
      <c r="D232" s="141">
        <v>3417.9000000000005</v>
      </c>
      <c r="E232" s="141"/>
      <c r="F232" s="141"/>
      <c r="G232" s="141"/>
      <c r="H232" s="141"/>
      <c r="J232" s="141">
        <f t="shared" si="7"/>
        <v>1.1950000000000001</v>
      </c>
      <c r="K232" s="141">
        <f t="shared" si="8"/>
        <v>4304.2800000000007</v>
      </c>
    </row>
    <row r="233" spans="1:11">
      <c r="A233" s="141">
        <v>233</v>
      </c>
      <c r="B233" s="142">
        <v>42326</v>
      </c>
      <c r="C233" s="149">
        <v>13.100000000000001</v>
      </c>
      <c r="D233" s="141">
        <v>3431.0000000000005</v>
      </c>
      <c r="E233" s="141"/>
      <c r="F233" s="141"/>
      <c r="G233" s="141"/>
      <c r="H233" s="141"/>
      <c r="J233" s="141">
        <f t="shared" si="7"/>
        <v>0.83499999999999974</v>
      </c>
      <c r="K233" s="141">
        <f t="shared" si="8"/>
        <v>4324.3200000000006</v>
      </c>
    </row>
    <row r="234" spans="1:11">
      <c r="A234" s="141">
        <v>234</v>
      </c>
      <c r="B234" s="142">
        <v>42327</v>
      </c>
      <c r="C234" s="149">
        <v>11.2</v>
      </c>
      <c r="D234" s="141">
        <v>3442.2000000000003</v>
      </c>
      <c r="E234" s="141"/>
      <c r="F234" s="141"/>
      <c r="G234" s="141"/>
      <c r="H234" s="141"/>
      <c r="J234" s="141">
        <f t="shared" si="7"/>
        <v>1.1200000000000001</v>
      </c>
      <c r="K234" s="141">
        <f t="shared" si="8"/>
        <v>4351.2000000000007</v>
      </c>
    </row>
    <row r="235" spans="1:11">
      <c r="A235" s="141">
        <v>235</v>
      </c>
      <c r="B235" s="142">
        <v>42328</v>
      </c>
      <c r="C235" s="149">
        <v>6.6999999999999993</v>
      </c>
      <c r="D235" s="141">
        <v>3448.9</v>
      </c>
      <c r="E235" s="141"/>
      <c r="F235" s="141"/>
      <c r="G235" s="141"/>
      <c r="H235" s="141"/>
      <c r="J235" s="141">
        <f t="shared" si="7"/>
        <v>1.7950000000000002</v>
      </c>
      <c r="K235" s="141">
        <f t="shared" si="8"/>
        <v>4394.2800000000007</v>
      </c>
    </row>
    <row r="236" spans="1:11">
      <c r="A236" s="141">
        <v>236</v>
      </c>
      <c r="B236" s="142">
        <v>42329</v>
      </c>
      <c r="C236" s="149">
        <v>3.1999999999999993</v>
      </c>
      <c r="D236" s="141">
        <v>3452.1</v>
      </c>
      <c r="E236" s="141"/>
      <c r="F236" s="141"/>
      <c r="G236" s="141"/>
      <c r="H236" s="141"/>
      <c r="J236" s="141">
        <f t="shared" si="7"/>
        <v>2.3199999999999998</v>
      </c>
      <c r="K236" s="141">
        <f t="shared" si="8"/>
        <v>4449.9600000000009</v>
      </c>
    </row>
    <row r="237" spans="1:11">
      <c r="A237" s="141">
        <v>237</v>
      </c>
      <c r="B237" s="142">
        <v>42330</v>
      </c>
      <c r="C237" s="149">
        <v>0.69999999999999929</v>
      </c>
      <c r="D237" s="141">
        <v>3452.7999999999997</v>
      </c>
      <c r="E237" s="141"/>
      <c r="F237" s="141"/>
      <c r="G237" s="141"/>
      <c r="H237" s="141"/>
      <c r="J237" s="141">
        <f t="shared" si="7"/>
        <v>2.6950000000000003</v>
      </c>
      <c r="K237" s="141">
        <f t="shared" si="8"/>
        <v>4514.6400000000012</v>
      </c>
    </row>
    <row r="238" spans="1:11">
      <c r="A238" s="141">
        <v>238</v>
      </c>
      <c r="B238" s="142">
        <v>42331</v>
      </c>
      <c r="C238" s="149">
        <v>0.19999999999999929</v>
      </c>
      <c r="D238" s="141">
        <v>3452.9999999999995</v>
      </c>
      <c r="E238" s="141"/>
      <c r="F238" s="141"/>
      <c r="G238" s="141"/>
      <c r="H238" s="141"/>
      <c r="J238" s="141">
        <f t="shared" si="7"/>
        <v>2.7700000000000005</v>
      </c>
      <c r="K238" s="141">
        <f t="shared" si="8"/>
        <v>4581.1200000000008</v>
      </c>
    </row>
    <row r="239" spans="1:11">
      <c r="A239" s="141">
        <v>239</v>
      </c>
      <c r="B239" s="142">
        <v>42332</v>
      </c>
      <c r="C239" s="149">
        <v>-0.89999999999999858</v>
      </c>
      <c r="D239" s="141">
        <v>3452.0999999999995</v>
      </c>
      <c r="E239" s="141"/>
      <c r="F239" s="141"/>
      <c r="G239" s="141"/>
      <c r="H239" s="141"/>
      <c r="J239" s="141">
        <f t="shared" si="7"/>
        <v>2.9350000000000001</v>
      </c>
      <c r="K239" s="141">
        <f t="shared" si="8"/>
        <v>4651.5600000000004</v>
      </c>
    </row>
    <row r="240" spans="1:11">
      <c r="A240" s="141">
        <v>240</v>
      </c>
      <c r="B240" s="142">
        <v>42333</v>
      </c>
      <c r="C240" s="149">
        <v>0.30000000000000071</v>
      </c>
      <c r="D240" s="141">
        <v>3452.3999999999996</v>
      </c>
      <c r="E240" s="141"/>
      <c r="F240" s="141"/>
      <c r="G240" s="141"/>
      <c r="H240" s="141"/>
      <c r="J240" s="141">
        <f t="shared" si="7"/>
        <v>2.7549999999999999</v>
      </c>
      <c r="K240" s="141">
        <f t="shared" si="8"/>
        <v>4717.68</v>
      </c>
    </row>
    <row r="241" spans="1:11">
      <c r="A241" s="141">
        <v>241</v>
      </c>
      <c r="B241" s="142">
        <v>42334</v>
      </c>
      <c r="C241" s="149">
        <v>1.8999999999999986</v>
      </c>
      <c r="D241" s="141">
        <v>3454.2999999999997</v>
      </c>
      <c r="E241" s="141"/>
      <c r="F241" s="141"/>
      <c r="G241" s="141"/>
      <c r="H241" s="141"/>
      <c r="J241" s="141">
        <f t="shared" si="7"/>
        <v>2.5150000000000001</v>
      </c>
      <c r="K241" s="141">
        <f t="shared" si="8"/>
        <v>4778.04</v>
      </c>
    </row>
    <row r="242" spans="1:11">
      <c r="A242" s="141">
        <v>242</v>
      </c>
      <c r="B242" s="142">
        <v>42335</v>
      </c>
      <c r="C242" s="149">
        <v>2.3999999999999986</v>
      </c>
      <c r="D242" s="141">
        <v>3456.7</v>
      </c>
      <c r="E242" s="141"/>
      <c r="F242" s="141"/>
      <c r="G242" s="141"/>
      <c r="H242" s="141"/>
      <c r="J242" s="141">
        <f t="shared" si="7"/>
        <v>2.44</v>
      </c>
      <c r="K242" s="141">
        <f t="shared" si="8"/>
        <v>4836.6000000000004</v>
      </c>
    </row>
    <row r="243" spans="1:11">
      <c r="A243" s="141">
        <v>243</v>
      </c>
      <c r="B243" s="142">
        <v>42336</v>
      </c>
      <c r="C243" s="149">
        <v>1</v>
      </c>
      <c r="D243" s="141">
        <v>3457.7</v>
      </c>
      <c r="E243" s="141"/>
      <c r="F243" s="141"/>
      <c r="G243" s="141"/>
      <c r="H243" s="141"/>
      <c r="J243" s="141">
        <f t="shared" si="7"/>
        <v>2.65</v>
      </c>
      <c r="K243" s="141">
        <f t="shared" si="8"/>
        <v>4900.2000000000007</v>
      </c>
    </row>
    <row r="244" spans="1:11">
      <c r="A244" s="141">
        <v>244</v>
      </c>
      <c r="B244" s="142">
        <v>42337</v>
      </c>
      <c r="C244" s="149">
        <v>4.1000000000000014</v>
      </c>
      <c r="D244" s="141">
        <v>3461.7999999999997</v>
      </c>
      <c r="E244" s="141"/>
      <c r="F244" s="141"/>
      <c r="G244" s="141"/>
      <c r="H244" s="141"/>
      <c r="J244" s="141">
        <f t="shared" si="7"/>
        <v>2.1849999999999996</v>
      </c>
      <c r="K244" s="141">
        <f t="shared" si="8"/>
        <v>4952.6400000000003</v>
      </c>
    </row>
    <row r="245" spans="1:11">
      <c r="A245" s="141">
        <v>245</v>
      </c>
      <c r="B245" s="142">
        <v>42338</v>
      </c>
      <c r="C245" s="149">
        <v>7</v>
      </c>
      <c r="D245" s="141">
        <v>3468.7999999999997</v>
      </c>
      <c r="E245" s="141"/>
      <c r="F245" s="141"/>
      <c r="G245" s="141"/>
      <c r="H245" s="141"/>
      <c r="J245" s="141">
        <f t="shared" si="7"/>
        <v>1.75</v>
      </c>
      <c r="K245" s="141">
        <f t="shared" si="8"/>
        <v>4994.6400000000003</v>
      </c>
    </row>
    <row r="246" spans="1:11">
      <c r="A246" s="141">
        <v>246</v>
      </c>
      <c r="B246" s="142">
        <v>42339</v>
      </c>
      <c r="C246" s="149">
        <v>7.6000000000000014</v>
      </c>
      <c r="D246" s="141">
        <v>3476.3999999999996</v>
      </c>
      <c r="E246" s="141"/>
      <c r="F246" s="141"/>
      <c r="G246" s="141"/>
      <c r="H246" s="141"/>
      <c r="J246" s="141">
        <f t="shared" si="7"/>
        <v>1.66</v>
      </c>
      <c r="K246" s="141">
        <f t="shared" si="8"/>
        <v>5034.4800000000005</v>
      </c>
    </row>
    <row r="247" spans="1:11">
      <c r="A247" s="141">
        <v>247</v>
      </c>
      <c r="B247" s="142">
        <v>42340</v>
      </c>
      <c r="C247" s="149">
        <v>8.1999999999999993</v>
      </c>
      <c r="D247" s="141">
        <v>3484.5999999999995</v>
      </c>
      <c r="E247" s="141"/>
      <c r="F247" s="141"/>
      <c r="G247" s="141"/>
      <c r="H247" s="141"/>
      <c r="J247" s="141">
        <f t="shared" si="7"/>
        <v>1.57</v>
      </c>
      <c r="K247" s="141">
        <f t="shared" si="8"/>
        <v>5072.1600000000008</v>
      </c>
    </row>
    <row r="248" spans="1:11">
      <c r="A248" s="141">
        <v>248</v>
      </c>
      <c r="B248" s="142">
        <v>42341</v>
      </c>
      <c r="C248" s="149">
        <v>6.6000000000000014</v>
      </c>
      <c r="D248" s="141">
        <v>3491.1999999999994</v>
      </c>
      <c r="E248" s="141"/>
      <c r="F248" s="141"/>
      <c r="G248" s="141"/>
      <c r="H248" s="141"/>
      <c r="J248" s="141">
        <f t="shared" si="7"/>
        <v>1.8099999999999998</v>
      </c>
      <c r="K248" s="141">
        <f t="shared" si="8"/>
        <v>5115.6000000000004</v>
      </c>
    </row>
    <row r="249" spans="1:11">
      <c r="A249" s="141">
        <v>249</v>
      </c>
      <c r="B249" s="142">
        <v>42342</v>
      </c>
      <c r="C249" s="149">
        <v>3.3999999999999986</v>
      </c>
      <c r="D249" s="141">
        <v>3494.5999999999995</v>
      </c>
      <c r="E249" s="141"/>
      <c r="F249" s="141"/>
      <c r="G249" s="141"/>
      <c r="H249" s="141"/>
      <c r="J249" s="141">
        <f t="shared" si="7"/>
        <v>2.29</v>
      </c>
      <c r="K249" s="141">
        <f t="shared" si="8"/>
        <v>5170.5600000000004</v>
      </c>
    </row>
    <row r="250" spans="1:11">
      <c r="A250" s="141">
        <v>250</v>
      </c>
      <c r="B250" s="142">
        <v>42343</v>
      </c>
      <c r="C250" s="149">
        <v>4.8999999999999986</v>
      </c>
      <c r="D250" s="141">
        <v>3499.4999999999995</v>
      </c>
      <c r="E250" s="141"/>
      <c r="F250" s="141"/>
      <c r="G250" s="141"/>
      <c r="H250" s="141"/>
      <c r="J250" s="141">
        <f t="shared" si="7"/>
        <v>2.0650000000000004</v>
      </c>
      <c r="K250" s="141">
        <f t="shared" si="8"/>
        <v>5220.1200000000008</v>
      </c>
    </row>
    <row r="251" spans="1:11">
      <c r="A251" s="141">
        <v>251</v>
      </c>
      <c r="B251" s="142">
        <v>42344</v>
      </c>
      <c r="C251" s="149">
        <v>6.1000000000000014</v>
      </c>
      <c r="D251" s="141">
        <v>3505.5999999999995</v>
      </c>
      <c r="E251" s="141"/>
      <c r="F251" s="141"/>
      <c r="G251" s="141"/>
      <c r="H251" s="141"/>
      <c r="J251" s="141">
        <f t="shared" si="7"/>
        <v>1.885</v>
      </c>
      <c r="K251" s="141">
        <f t="shared" si="8"/>
        <v>5265.3600000000006</v>
      </c>
    </row>
    <row r="252" spans="1:11">
      <c r="A252" s="141">
        <v>252</v>
      </c>
      <c r="B252" s="142">
        <v>42345</v>
      </c>
      <c r="C252" s="149">
        <v>6.6000000000000014</v>
      </c>
      <c r="D252" s="141">
        <v>3512.1999999999994</v>
      </c>
      <c r="E252" s="141"/>
      <c r="F252" s="141"/>
      <c r="G252" s="141"/>
      <c r="H252" s="141"/>
      <c r="J252" s="141">
        <f t="shared" si="7"/>
        <v>1.8099999999999998</v>
      </c>
      <c r="K252" s="141">
        <f t="shared" si="8"/>
        <v>5308.8</v>
      </c>
    </row>
    <row r="253" spans="1:11">
      <c r="A253" s="141">
        <v>253</v>
      </c>
      <c r="B253" s="142">
        <v>42346</v>
      </c>
      <c r="C253" s="149">
        <v>2.3999999999999986</v>
      </c>
      <c r="D253" s="141">
        <v>3514.5999999999995</v>
      </c>
      <c r="E253" s="141"/>
      <c r="F253" s="141"/>
      <c r="G253" s="141"/>
      <c r="H253" s="141"/>
      <c r="J253" s="141">
        <f t="shared" si="7"/>
        <v>2.44</v>
      </c>
      <c r="K253" s="141">
        <f t="shared" si="8"/>
        <v>5367.3600000000006</v>
      </c>
    </row>
    <row r="254" spans="1:11">
      <c r="A254" s="141">
        <v>254</v>
      </c>
      <c r="B254" s="142">
        <v>42347</v>
      </c>
      <c r="C254" s="149">
        <v>3.3000000000000007</v>
      </c>
      <c r="D254" s="141">
        <v>3517.8999999999996</v>
      </c>
      <c r="E254" s="141"/>
      <c r="F254" s="141"/>
      <c r="G254" s="141"/>
      <c r="H254" s="141"/>
      <c r="J254" s="141">
        <f t="shared" si="7"/>
        <v>2.3050000000000002</v>
      </c>
      <c r="K254" s="141">
        <f t="shared" si="8"/>
        <v>5422.68</v>
      </c>
    </row>
    <row r="255" spans="1:11">
      <c r="A255" s="141">
        <v>255</v>
      </c>
      <c r="B255" s="142">
        <v>42348</v>
      </c>
      <c r="C255" s="149">
        <v>1.8999999999999986</v>
      </c>
      <c r="D255" s="141">
        <v>3519.7999999999997</v>
      </c>
      <c r="E255" s="141"/>
      <c r="F255" s="141"/>
      <c r="G255" s="141"/>
      <c r="H255" s="141"/>
      <c r="J255" s="141">
        <f t="shared" si="7"/>
        <v>2.5150000000000001</v>
      </c>
      <c r="K255" s="141">
        <f t="shared" si="8"/>
        <v>5483.04</v>
      </c>
    </row>
    <row r="256" spans="1:11">
      <c r="A256" s="141">
        <v>256</v>
      </c>
      <c r="B256" s="142">
        <v>42349</v>
      </c>
      <c r="C256" s="149">
        <v>1.8999999999999986</v>
      </c>
      <c r="D256" s="141">
        <v>3521.7</v>
      </c>
      <c r="E256" s="141"/>
      <c r="F256" s="141"/>
      <c r="G256" s="141"/>
      <c r="H256" s="141"/>
      <c r="J256" s="141">
        <f t="shared" si="7"/>
        <v>2.5150000000000001</v>
      </c>
      <c r="K256" s="141">
        <f t="shared" si="8"/>
        <v>5543.4</v>
      </c>
    </row>
    <row r="257" spans="1:11">
      <c r="A257" s="141">
        <v>257</v>
      </c>
      <c r="B257" s="142">
        <v>42350</v>
      </c>
      <c r="C257" s="149">
        <v>4.8000000000000007</v>
      </c>
      <c r="D257" s="141">
        <v>3526.5</v>
      </c>
      <c r="E257" s="141"/>
      <c r="F257" s="141"/>
      <c r="G257" s="141"/>
      <c r="H257" s="141"/>
      <c r="J257" s="141">
        <f t="shared" si="7"/>
        <v>2.08</v>
      </c>
      <c r="K257" s="141">
        <f t="shared" si="8"/>
        <v>5593.32</v>
      </c>
    </row>
    <row r="258" spans="1:11">
      <c r="A258" s="141">
        <v>258</v>
      </c>
      <c r="B258" s="142">
        <v>42351</v>
      </c>
      <c r="C258" s="149">
        <v>5.6000000000000014</v>
      </c>
      <c r="D258" s="141">
        <v>3532.1</v>
      </c>
      <c r="E258" s="141"/>
      <c r="F258" s="141"/>
      <c r="G258" s="141"/>
      <c r="H258" s="141"/>
      <c r="J258" s="141">
        <f t="shared" si="7"/>
        <v>1.96</v>
      </c>
      <c r="K258" s="141">
        <f t="shared" si="8"/>
        <v>5640.36</v>
      </c>
    </row>
    <row r="259" spans="1:11">
      <c r="A259" s="141">
        <v>259</v>
      </c>
      <c r="B259" s="142">
        <v>42352</v>
      </c>
      <c r="C259" s="149">
        <v>1.1000000000000014</v>
      </c>
      <c r="D259" s="141">
        <v>3533.2</v>
      </c>
      <c r="E259" s="141"/>
      <c r="F259" s="141"/>
      <c r="G259" s="141"/>
      <c r="H259" s="141"/>
      <c r="J259" s="141">
        <f t="shared" si="7"/>
        <v>2.6349999999999998</v>
      </c>
      <c r="K259" s="141">
        <f t="shared" si="8"/>
        <v>5703.5999999999995</v>
      </c>
    </row>
    <row r="260" spans="1:11">
      <c r="A260" s="141">
        <v>260</v>
      </c>
      <c r="B260" s="142">
        <v>42353</v>
      </c>
      <c r="C260" s="149">
        <v>4.3000000000000007</v>
      </c>
      <c r="D260" s="141">
        <v>3537.5</v>
      </c>
      <c r="E260" s="141"/>
      <c r="F260" s="141"/>
      <c r="G260" s="141"/>
      <c r="H260" s="141"/>
      <c r="J260" s="141">
        <f t="shared" si="7"/>
        <v>2.1550000000000002</v>
      </c>
      <c r="K260" s="141">
        <f t="shared" si="8"/>
        <v>5755.32</v>
      </c>
    </row>
    <row r="261" spans="1:11">
      <c r="A261" s="141">
        <v>261</v>
      </c>
      <c r="B261" s="142">
        <v>42354</v>
      </c>
      <c r="C261" s="149">
        <v>4.3999999999999986</v>
      </c>
      <c r="D261" s="141">
        <v>3541.9</v>
      </c>
      <c r="E261" s="141"/>
      <c r="F261" s="141"/>
      <c r="G261" s="141"/>
      <c r="H261" s="141"/>
      <c r="J261" s="141">
        <f t="shared" si="7"/>
        <v>2.14</v>
      </c>
      <c r="K261" s="141">
        <f t="shared" si="8"/>
        <v>5806.6799999999994</v>
      </c>
    </row>
    <row r="262" spans="1:11">
      <c r="A262" s="141">
        <v>262</v>
      </c>
      <c r="B262" s="142">
        <v>42355</v>
      </c>
      <c r="C262" s="149">
        <v>7.6999999999999993</v>
      </c>
      <c r="D262" s="141">
        <v>3549.6</v>
      </c>
      <c r="E262" s="141"/>
      <c r="F262" s="141"/>
      <c r="G262" s="141"/>
      <c r="H262" s="141"/>
      <c r="J262" s="141">
        <f t="shared" si="7"/>
        <v>1.645</v>
      </c>
      <c r="K262" s="141">
        <f t="shared" si="8"/>
        <v>5846.1599999999989</v>
      </c>
    </row>
    <row r="263" spans="1:11">
      <c r="A263" s="141">
        <v>263</v>
      </c>
      <c r="B263" s="142">
        <v>42356</v>
      </c>
      <c r="C263" s="149">
        <v>7.3999999999999986</v>
      </c>
      <c r="D263" s="141">
        <v>3557</v>
      </c>
      <c r="E263" s="141"/>
      <c r="F263" s="141"/>
      <c r="G263" s="141"/>
      <c r="H263" s="141"/>
      <c r="J263" s="141">
        <f t="shared" ref="J263:J326" si="9">J$1+(IF(J$3-$C263&gt;0,J$3-$C263,0)*J$2/30)</f>
        <v>1.6900000000000002</v>
      </c>
      <c r="K263" s="141">
        <f t="shared" ref="K263:K326" si="10">K262+J263*24</f>
        <v>5886.7199999999993</v>
      </c>
    </row>
    <row r="264" spans="1:11">
      <c r="A264" s="141">
        <v>264</v>
      </c>
      <c r="B264" s="142">
        <v>42357</v>
      </c>
      <c r="C264" s="149">
        <v>7.8000000000000007</v>
      </c>
      <c r="D264" s="141">
        <v>3564.8</v>
      </c>
      <c r="E264" s="141"/>
      <c r="F264" s="141"/>
      <c r="G264" s="141"/>
      <c r="H264" s="141"/>
      <c r="J264" s="141">
        <f t="shared" si="9"/>
        <v>1.63</v>
      </c>
      <c r="K264" s="141">
        <f t="shared" si="10"/>
        <v>5925.8399999999992</v>
      </c>
    </row>
    <row r="265" spans="1:11">
      <c r="A265" s="141">
        <v>265</v>
      </c>
      <c r="B265" s="142">
        <v>42358</v>
      </c>
      <c r="C265" s="149">
        <v>3.5</v>
      </c>
      <c r="D265" s="141">
        <v>3568.3</v>
      </c>
      <c r="E265" s="141"/>
      <c r="F265" s="141"/>
      <c r="G265" s="141"/>
      <c r="H265" s="141"/>
      <c r="J265" s="141">
        <f t="shared" si="9"/>
        <v>2.2749999999999999</v>
      </c>
      <c r="K265" s="141">
        <f t="shared" si="10"/>
        <v>5980.44</v>
      </c>
    </row>
    <row r="266" spans="1:11">
      <c r="A266" s="141">
        <v>266</v>
      </c>
      <c r="B266" s="142">
        <v>42359</v>
      </c>
      <c r="C266" s="149">
        <v>4.6999999999999993</v>
      </c>
      <c r="D266" s="141">
        <v>3573</v>
      </c>
      <c r="E266" s="141"/>
      <c r="F266" s="141"/>
      <c r="G266" s="141"/>
      <c r="H266" s="141"/>
      <c r="J266" s="141">
        <f t="shared" si="9"/>
        <v>2.0949999999999998</v>
      </c>
      <c r="K266" s="141">
        <f t="shared" si="10"/>
        <v>6030.7199999999993</v>
      </c>
    </row>
    <row r="267" spans="1:11">
      <c r="A267" s="141">
        <v>267</v>
      </c>
      <c r="B267" s="142">
        <v>42360</v>
      </c>
      <c r="C267" s="149">
        <v>9.1999999999999993</v>
      </c>
      <c r="D267" s="141">
        <v>3582.2</v>
      </c>
      <c r="E267" s="141"/>
      <c r="F267" s="141"/>
      <c r="G267" s="141"/>
      <c r="H267" s="141"/>
      <c r="J267" s="141">
        <f t="shared" si="9"/>
        <v>1.4200000000000002</v>
      </c>
      <c r="K267" s="141">
        <f t="shared" si="10"/>
        <v>6064.7999999999993</v>
      </c>
    </row>
    <row r="268" spans="1:11">
      <c r="A268" s="141">
        <v>268</v>
      </c>
      <c r="B268" s="142">
        <v>42361</v>
      </c>
      <c r="C268" s="149">
        <v>8.3000000000000007</v>
      </c>
      <c r="D268" s="141">
        <v>3590.5</v>
      </c>
      <c r="E268" s="141"/>
      <c r="F268" s="141"/>
      <c r="G268" s="141"/>
      <c r="H268" s="141"/>
      <c r="J268" s="141">
        <f t="shared" si="9"/>
        <v>1.5549999999999999</v>
      </c>
      <c r="K268" s="141">
        <f t="shared" si="10"/>
        <v>6102.119999999999</v>
      </c>
    </row>
    <row r="269" spans="1:11">
      <c r="A269" s="141">
        <v>269</v>
      </c>
      <c r="B269" s="142">
        <v>42362</v>
      </c>
      <c r="C269" s="149">
        <v>3.1999999999999993</v>
      </c>
      <c r="D269" s="141">
        <v>3593.7</v>
      </c>
      <c r="E269" s="141"/>
      <c r="F269" s="141"/>
      <c r="G269" s="141"/>
      <c r="H269" s="141"/>
      <c r="J269" s="141">
        <f t="shared" si="9"/>
        <v>2.3199999999999998</v>
      </c>
      <c r="K269" s="141">
        <f t="shared" si="10"/>
        <v>6157.7999999999993</v>
      </c>
    </row>
    <row r="270" spans="1:11">
      <c r="A270" s="141">
        <v>270</v>
      </c>
      <c r="B270" s="142">
        <v>42363</v>
      </c>
      <c r="C270" s="149">
        <v>8.3000000000000007</v>
      </c>
      <c r="D270" s="141">
        <v>3602</v>
      </c>
      <c r="E270" s="141"/>
      <c r="F270" s="141"/>
      <c r="G270" s="141"/>
      <c r="H270" s="141"/>
      <c r="J270" s="141">
        <f t="shared" si="9"/>
        <v>1.5549999999999999</v>
      </c>
      <c r="K270" s="141">
        <f t="shared" si="10"/>
        <v>6195.119999999999</v>
      </c>
    </row>
    <row r="271" spans="1:11">
      <c r="A271" s="141">
        <v>271</v>
      </c>
      <c r="B271" s="142">
        <v>42364</v>
      </c>
      <c r="C271" s="149">
        <v>10.7</v>
      </c>
      <c r="D271" s="141">
        <v>3612.7</v>
      </c>
      <c r="E271" s="141"/>
      <c r="F271" s="141"/>
      <c r="G271" s="141"/>
      <c r="H271" s="141"/>
      <c r="J271" s="141">
        <f t="shared" si="9"/>
        <v>1.1950000000000001</v>
      </c>
      <c r="K271" s="141">
        <f t="shared" si="10"/>
        <v>6223.7999999999993</v>
      </c>
    </row>
    <row r="272" spans="1:11">
      <c r="A272" s="141">
        <v>272</v>
      </c>
      <c r="B272" s="142">
        <v>42365</v>
      </c>
      <c r="C272" s="149">
        <v>8.1999999999999993</v>
      </c>
      <c r="D272" s="141">
        <v>3620.8999999999996</v>
      </c>
      <c r="E272" s="141"/>
      <c r="F272" s="141"/>
      <c r="G272" s="141"/>
      <c r="H272" s="141"/>
      <c r="J272" s="141">
        <f t="shared" si="9"/>
        <v>1.57</v>
      </c>
      <c r="K272" s="141">
        <f t="shared" si="10"/>
        <v>6261.48</v>
      </c>
    </row>
    <row r="273" spans="1:11">
      <c r="A273" s="141">
        <v>273</v>
      </c>
      <c r="B273" s="142">
        <v>42366</v>
      </c>
      <c r="C273" s="149">
        <v>7.6000000000000014</v>
      </c>
      <c r="D273" s="141">
        <v>3628.4999999999995</v>
      </c>
      <c r="E273" s="141"/>
      <c r="F273" s="141"/>
      <c r="G273" s="141"/>
      <c r="H273" s="141"/>
      <c r="J273" s="141">
        <f t="shared" si="9"/>
        <v>1.66</v>
      </c>
      <c r="K273" s="141">
        <f t="shared" si="10"/>
        <v>6301.32</v>
      </c>
    </row>
    <row r="274" spans="1:11">
      <c r="A274" s="141">
        <v>274</v>
      </c>
      <c r="B274" s="142">
        <v>42367</v>
      </c>
      <c r="C274" s="149">
        <v>3.3000000000000007</v>
      </c>
      <c r="D274" s="141">
        <v>3631.7999999999997</v>
      </c>
      <c r="E274" s="141"/>
      <c r="F274" s="141"/>
      <c r="G274" s="141"/>
      <c r="H274" s="141"/>
      <c r="J274" s="141">
        <f t="shared" si="9"/>
        <v>2.3050000000000002</v>
      </c>
      <c r="K274" s="141">
        <f t="shared" si="10"/>
        <v>6356.6399999999994</v>
      </c>
    </row>
    <row r="275" spans="1:11">
      <c r="A275" s="141">
        <v>275</v>
      </c>
      <c r="B275" s="142">
        <v>42368</v>
      </c>
      <c r="C275" s="149">
        <v>0.39999999999999858</v>
      </c>
      <c r="D275" s="141">
        <v>3632.2</v>
      </c>
      <c r="E275" s="141"/>
      <c r="F275" s="141"/>
      <c r="G275" s="141"/>
      <c r="H275" s="141"/>
      <c r="J275" s="141">
        <f t="shared" si="9"/>
        <v>2.74</v>
      </c>
      <c r="K275" s="141">
        <f t="shared" si="10"/>
        <v>6422.4</v>
      </c>
    </row>
    <row r="276" spans="1:11">
      <c r="A276" s="141">
        <v>276</v>
      </c>
      <c r="B276" s="142">
        <v>42369</v>
      </c>
      <c r="C276" s="149">
        <v>-2.6000000000000014</v>
      </c>
      <c r="D276" s="141">
        <v>3629.6</v>
      </c>
      <c r="E276" s="141"/>
      <c r="F276" s="141"/>
      <c r="G276" s="141"/>
      <c r="H276" s="141"/>
      <c r="J276" s="141">
        <f t="shared" si="9"/>
        <v>3.19</v>
      </c>
      <c r="K276" s="141">
        <f t="shared" si="10"/>
        <v>6498.96</v>
      </c>
    </row>
    <row r="277" spans="1:11">
      <c r="A277" s="141">
        <v>277</v>
      </c>
      <c r="B277" s="142">
        <v>42370</v>
      </c>
      <c r="C277" s="149">
        <v>-1.1999999999999993</v>
      </c>
      <c r="D277" s="141">
        <v>3628.4</v>
      </c>
      <c r="E277" s="141"/>
      <c r="F277" s="141"/>
      <c r="G277" s="141"/>
      <c r="H277" s="141"/>
      <c r="J277" s="141">
        <f t="shared" si="9"/>
        <v>2.9799999999999995</v>
      </c>
      <c r="K277" s="141">
        <f t="shared" si="10"/>
        <v>6570.48</v>
      </c>
    </row>
    <row r="278" spans="1:11">
      <c r="A278" s="141">
        <v>278</v>
      </c>
      <c r="B278" s="142">
        <v>42371</v>
      </c>
      <c r="C278" s="149">
        <v>-0.89999999999999858</v>
      </c>
      <c r="D278" s="141">
        <v>3627.5</v>
      </c>
      <c r="E278" s="141"/>
      <c r="F278" s="141"/>
      <c r="G278" s="141"/>
      <c r="H278" s="141"/>
      <c r="J278" s="141">
        <f t="shared" si="9"/>
        <v>2.9350000000000001</v>
      </c>
      <c r="K278" s="141">
        <f t="shared" si="10"/>
        <v>6640.9199999999992</v>
      </c>
    </row>
    <row r="279" spans="1:11">
      <c r="A279" s="141">
        <v>279</v>
      </c>
      <c r="B279" s="142">
        <v>42372</v>
      </c>
      <c r="C279" s="149">
        <v>-4.7000000000000028</v>
      </c>
      <c r="D279" s="141">
        <v>3622.8</v>
      </c>
      <c r="E279" s="141"/>
      <c r="F279" s="141"/>
      <c r="G279" s="141"/>
      <c r="H279" s="141"/>
      <c r="J279" s="141">
        <f t="shared" si="9"/>
        <v>3.5050000000000003</v>
      </c>
      <c r="K279" s="141">
        <f t="shared" si="10"/>
        <v>6725.0399999999991</v>
      </c>
    </row>
    <row r="280" spans="1:11">
      <c r="A280" s="141">
        <v>280</v>
      </c>
      <c r="B280" s="142">
        <v>42373</v>
      </c>
      <c r="C280" s="149">
        <v>-6.3999999999999986</v>
      </c>
      <c r="D280" s="141">
        <v>3616.4</v>
      </c>
      <c r="E280" s="141"/>
      <c r="F280" s="141"/>
      <c r="G280" s="141"/>
      <c r="H280" s="141"/>
      <c r="J280" s="141">
        <f t="shared" si="9"/>
        <v>3.76</v>
      </c>
      <c r="K280" s="141">
        <f t="shared" si="10"/>
        <v>6815.2799999999988</v>
      </c>
    </row>
    <row r="281" spans="1:11">
      <c r="A281" s="141">
        <v>281</v>
      </c>
      <c r="B281" s="142">
        <v>42374</v>
      </c>
      <c r="C281" s="149">
        <v>-5.6000000000000014</v>
      </c>
      <c r="D281" s="141">
        <v>3610.8</v>
      </c>
      <c r="E281" s="141"/>
      <c r="F281" s="141"/>
      <c r="G281" s="141"/>
      <c r="H281" s="141"/>
      <c r="J281" s="141">
        <f t="shared" si="9"/>
        <v>3.64</v>
      </c>
      <c r="K281" s="141">
        <f t="shared" si="10"/>
        <v>6902.6399999999985</v>
      </c>
    </row>
    <row r="282" spans="1:11">
      <c r="A282" s="141">
        <v>282</v>
      </c>
      <c r="B282" s="142">
        <v>42375</v>
      </c>
      <c r="C282" s="149">
        <v>-3.5</v>
      </c>
      <c r="D282" s="141">
        <v>3607.3</v>
      </c>
      <c r="E282" s="141"/>
      <c r="F282" s="141"/>
      <c r="G282" s="141"/>
      <c r="H282" s="141"/>
      <c r="J282" s="141">
        <f t="shared" si="9"/>
        <v>3.3250000000000002</v>
      </c>
      <c r="K282" s="141">
        <f t="shared" si="10"/>
        <v>6982.4399999999987</v>
      </c>
    </row>
    <row r="283" spans="1:11">
      <c r="A283" s="141">
        <v>283</v>
      </c>
      <c r="B283" s="142">
        <v>42376</v>
      </c>
      <c r="C283" s="149">
        <v>-1.6000000000000014</v>
      </c>
      <c r="D283" s="141">
        <v>3605.7000000000003</v>
      </c>
      <c r="E283" s="141"/>
      <c r="F283" s="141"/>
      <c r="G283" s="141"/>
      <c r="H283" s="141"/>
      <c r="J283" s="141">
        <f t="shared" si="9"/>
        <v>3.04</v>
      </c>
      <c r="K283" s="141">
        <f t="shared" si="10"/>
        <v>7055.3999999999987</v>
      </c>
    </row>
    <row r="284" spans="1:11">
      <c r="A284" s="141">
        <v>284</v>
      </c>
      <c r="B284" s="142">
        <v>42377</v>
      </c>
      <c r="C284" s="149">
        <v>2</v>
      </c>
      <c r="D284" s="141">
        <v>3607.7000000000003</v>
      </c>
      <c r="E284" s="141"/>
      <c r="F284" s="141"/>
      <c r="G284" s="141"/>
      <c r="H284" s="141"/>
      <c r="J284" s="141">
        <f t="shared" si="9"/>
        <v>2.5</v>
      </c>
      <c r="K284" s="141">
        <f t="shared" si="10"/>
        <v>7115.3999999999987</v>
      </c>
    </row>
    <row r="285" spans="1:11">
      <c r="A285" s="141">
        <v>285</v>
      </c>
      <c r="B285" s="142">
        <v>42378</v>
      </c>
      <c r="C285" s="149">
        <v>-3.2000000000000028</v>
      </c>
      <c r="D285" s="141">
        <v>3604.5000000000005</v>
      </c>
      <c r="E285" s="141"/>
      <c r="F285" s="141"/>
      <c r="G285" s="141"/>
      <c r="H285" s="141"/>
      <c r="J285" s="141">
        <f t="shared" si="9"/>
        <v>3.2800000000000002</v>
      </c>
      <c r="K285" s="141">
        <f t="shared" si="10"/>
        <v>7194.119999999999</v>
      </c>
    </row>
    <row r="286" spans="1:11">
      <c r="A286" s="141">
        <v>286</v>
      </c>
      <c r="B286" s="142">
        <v>42379</v>
      </c>
      <c r="C286" s="149">
        <v>0.5</v>
      </c>
      <c r="D286" s="141">
        <v>3605.0000000000005</v>
      </c>
      <c r="E286" s="141"/>
      <c r="F286" s="141"/>
      <c r="G286" s="141"/>
      <c r="H286" s="141"/>
      <c r="J286" s="141">
        <f t="shared" si="9"/>
        <v>2.7250000000000001</v>
      </c>
      <c r="K286" s="141">
        <f t="shared" si="10"/>
        <v>7259.5199999999986</v>
      </c>
    </row>
    <row r="287" spans="1:11">
      <c r="A287" s="141">
        <v>287</v>
      </c>
      <c r="B287" s="142">
        <v>42380</v>
      </c>
      <c r="C287" s="149">
        <v>2.1000000000000014</v>
      </c>
      <c r="D287" s="141">
        <v>3607.1000000000004</v>
      </c>
      <c r="E287" s="141"/>
      <c r="F287" s="141"/>
      <c r="G287" s="141"/>
      <c r="H287" s="141"/>
      <c r="J287" s="141">
        <f t="shared" si="9"/>
        <v>2.4849999999999999</v>
      </c>
      <c r="K287" s="141">
        <f t="shared" si="10"/>
        <v>7319.1599999999989</v>
      </c>
    </row>
    <row r="288" spans="1:11">
      <c r="A288" s="141">
        <v>288</v>
      </c>
      <c r="B288" s="142">
        <v>42381</v>
      </c>
      <c r="C288" s="149">
        <v>4.3000000000000007</v>
      </c>
      <c r="D288" s="141">
        <v>3611.4000000000005</v>
      </c>
      <c r="E288" s="141"/>
      <c r="F288" s="141"/>
      <c r="G288" s="141"/>
      <c r="H288" s="141"/>
      <c r="J288" s="141">
        <f t="shared" si="9"/>
        <v>2.1550000000000002</v>
      </c>
      <c r="K288" s="141">
        <f t="shared" si="10"/>
        <v>7370.8799999999992</v>
      </c>
    </row>
    <row r="289" spans="1:11">
      <c r="A289" s="141">
        <v>289</v>
      </c>
      <c r="B289" s="142">
        <v>42382</v>
      </c>
      <c r="C289" s="149">
        <v>3</v>
      </c>
      <c r="D289" s="141">
        <v>3614.4000000000005</v>
      </c>
      <c r="E289" s="141"/>
      <c r="F289" s="141"/>
      <c r="G289" s="141"/>
      <c r="H289" s="141"/>
      <c r="J289" s="141">
        <f t="shared" si="9"/>
        <v>2.35</v>
      </c>
      <c r="K289" s="141">
        <f t="shared" si="10"/>
        <v>7427.2799999999988</v>
      </c>
    </row>
    <row r="290" spans="1:11">
      <c r="A290" s="141">
        <v>290</v>
      </c>
      <c r="B290" s="142">
        <v>42383</v>
      </c>
      <c r="C290" s="149">
        <v>0.69999999999999929</v>
      </c>
      <c r="D290" s="141">
        <v>3615.1000000000004</v>
      </c>
      <c r="E290" s="141"/>
      <c r="F290" s="141"/>
      <c r="G290" s="141"/>
      <c r="H290" s="141"/>
      <c r="J290" s="141">
        <f t="shared" si="9"/>
        <v>2.6950000000000003</v>
      </c>
      <c r="K290" s="141">
        <f t="shared" si="10"/>
        <v>7491.9599999999991</v>
      </c>
    </row>
    <row r="291" spans="1:11">
      <c r="A291" s="141">
        <v>291</v>
      </c>
      <c r="B291" s="142">
        <v>42384</v>
      </c>
      <c r="C291" s="149">
        <v>0.60000000000000142</v>
      </c>
      <c r="D291" s="141">
        <v>3615.7000000000003</v>
      </c>
      <c r="E291" s="141"/>
      <c r="F291" s="141"/>
      <c r="G291" s="141"/>
      <c r="H291" s="141"/>
      <c r="J291" s="141">
        <f t="shared" si="9"/>
        <v>2.71</v>
      </c>
      <c r="K291" s="141">
        <f t="shared" si="10"/>
        <v>7556.9999999999991</v>
      </c>
    </row>
    <row r="292" spans="1:11">
      <c r="A292" s="141">
        <v>292</v>
      </c>
      <c r="B292" s="142">
        <v>42385</v>
      </c>
      <c r="C292" s="149">
        <v>-1.6999999999999993</v>
      </c>
      <c r="D292" s="141">
        <v>3614.0000000000005</v>
      </c>
      <c r="E292" s="141"/>
      <c r="F292" s="141"/>
      <c r="G292" s="141"/>
      <c r="H292" s="141"/>
      <c r="J292" s="141">
        <f t="shared" si="9"/>
        <v>3.0549999999999997</v>
      </c>
      <c r="K292" s="141">
        <f t="shared" si="10"/>
        <v>7630.3199999999988</v>
      </c>
    </row>
    <row r="293" spans="1:11">
      <c r="A293" s="141">
        <v>293</v>
      </c>
      <c r="B293" s="142">
        <v>42386</v>
      </c>
      <c r="C293" s="149">
        <v>-3.2999999999999972</v>
      </c>
      <c r="D293" s="141">
        <v>3610.7000000000003</v>
      </c>
      <c r="E293" s="141"/>
      <c r="F293" s="141"/>
      <c r="G293" s="141"/>
      <c r="H293" s="141"/>
      <c r="J293" s="141">
        <f t="shared" si="9"/>
        <v>3.2949999999999999</v>
      </c>
      <c r="K293" s="141">
        <f t="shared" si="10"/>
        <v>7709.3999999999987</v>
      </c>
    </row>
    <row r="294" spans="1:11">
      <c r="A294" s="141">
        <v>294</v>
      </c>
      <c r="B294" s="142">
        <v>42387</v>
      </c>
      <c r="C294" s="149">
        <v>-7.1000000000000014</v>
      </c>
      <c r="D294" s="141">
        <v>3603.6000000000004</v>
      </c>
      <c r="E294" s="141"/>
      <c r="F294" s="141"/>
      <c r="G294" s="141"/>
      <c r="H294" s="141"/>
      <c r="J294" s="141">
        <f t="shared" si="9"/>
        <v>3.8650000000000002</v>
      </c>
      <c r="K294" s="141">
        <f t="shared" si="10"/>
        <v>7802.1599999999989</v>
      </c>
    </row>
    <row r="295" spans="1:11">
      <c r="A295" s="141">
        <v>295</v>
      </c>
      <c r="B295" s="142">
        <v>42388</v>
      </c>
      <c r="C295" s="149">
        <v>-8.3999999999999986</v>
      </c>
      <c r="D295" s="141">
        <v>3595.2000000000003</v>
      </c>
      <c r="E295" s="141"/>
      <c r="F295" s="141"/>
      <c r="G295" s="141"/>
      <c r="H295" s="141"/>
      <c r="J295" s="141">
        <f t="shared" si="9"/>
        <v>4.0600000000000005</v>
      </c>
      <c r="K295" s="141">
        <f t="shared" si="10"/>
        <v>7899.5999999999985</v>
      </c>
    </row>
    <row r="296" spans="1:11">
      <c r="A296" s="141">
        <v>296</v>
      </c>
      <c r="B296" s="142">
        <v>42389</v>
      </c>
      <c r="C296" s="149">
        <v>-5.6000000000000014</v>
      </c>
      <c r="D296" s="141">
        <v>3589.6000000000004</v>
      </c>
      <c r="E296" s="141"/>
      <c r="F296" s="141"/>
      <c r="G296" s="141"/>
      <c r="H296" s="141"/>
      <c r="J296" s="141">
        <f t="shared" si="9"/>
        <v>3.64</v>
      </c>
      <c r="K296" s="141">
        <f t="shared" si="10"/>
        <v>7986.9599999999982</v>
      </c>
    </row>
    <row r="297" spans="1:11">
      <c r="A297" s="141">
        <v>297</v>
      </c>
      <c r="B297" s="142">
        <v>42390</v>
      </c>
      <c r="C297" s="149">
        <v>-5.6000000000000014</v>
      </c>
      <c r="D297" s="141">
        <v>3584.0000000000005</v>
      </c>
      <c r="E297" s="141"/>
      <c r="F297" s="141"/>
      <c r="G297" s="141"/>
      <c r="H297" s="141"/>
      <c r="J297" s="141">
        <f t="shared" si="9"/>
        <v>3.64</v>
      </c>
      <c r="K297" s="141">
        <f t="shared" si="10"/>
        <v>8074.3199999999979</v>
      </c>
    </row>
    <row r="298" spans="1:11">
      <c r="A298" s="141">
        <v>298</v>
      </c>
      <c r="B298" s="142">
        <v>42391</v>
      </c>
      <c r="C298" s="149">
        <v>-10</v>
      </c>
      <c r="D298" s="141">
        <v>3574.0000000000005</v>
      </c>
      <c r="E298" s="141"/>
      <c r="F298" s="141"/>
      <c r="G298" s="141"/>
      <c r="H298" s="141"/>
      <c r="J298" s="141">
        <f t="shared" si="9"/>
        <v>4.3</v>
      </c>
      <c r="K298" s="141">
        <f t="shared" si="10"/>
        <v>8177.5199999999977</v>
      </c>
    </row>
    <row r="299" spans="1:11">
      <c r="A299" s="141">
        <v>299</v>
      </c>
      <c r="B299" s="142">
        <v>42392</v>
      </c>
      <c r="C299" s="149">
        <v>-7.7000000000000028</v>
      </c>
      <c r="D299" s="141">
        <v>3566.3000000000006</v>
      </c>
      <c r="E299" s="141"/>
      <c r="F299" s="141"/>
      <c r="G299" s="141"/>
      <c r="H299" s="141"/>
      <c r="J299" s="141">
        <f t="shared" si="9"/>
        <v>3.9550000000000001</v>
      </c>
      <c r="K299" s="141">
        <f t="shared" si="10"/>
        <v>8272.4399999999969</v>
      </c>
    </row>
    <row r="300" spans="1:11">
      <c r="A300" s="141">
        <v>300</v>
      </c>
      <c r="B300" s="142">
        <v>42393</v>
      </c>
      <c r="C300" s="149">
        <v>2.3000000000000007</v>
      </c>
      <c r="D300" s="141">
        <v>3568.6000000000008</v>
      </c>
      <c r="E300" s="141"/>
      <c r="F300" s="141"/>
      <c r="G300" s="141"/>
      <c r="H300" s="141"/>
      <c r="J300" s="141">
        <f t="shared" si="9"/>
        <v>2.4549999999999996</v>
      </c>
      <c r="K300" s="141">
        <f t="shared" si="10"/>
        <v>8331.3599999999969</v>
      </c>
    </row>
    <row r="301" spans="1:11">
      <c r="A301" s="141">
        <v>301</v>
      </c>
      <c r="B301" s="142">
        <v>42394</v>
      </c>
      <c r="C301" s="149">
        <v>4.6000000000000014</v>
      </c>
      <c r="D301" s="141">
        <v>3573.2000000000007</v>
      </c>
      <c r="E301" s="141"/>
      <c r="F301" s="141"/>
      <c r="G301" s="141"/>
      <c r="H301" s="141"/>
      <c r="J301" s="141">
        <f t="shared" si="9"/>
        <v>2.11</v>
      </c>
      <c r="K301" s="141">
        <f t="shared" si="10"/>
        <v>8381.9999999999964</v>
      </c>
    </row>
    <row r="302" spans="1:11">
      <c r="A302" s="141">
        <v>302</v>
      </c>
      <c r="B302" s="142">
        <v>42395</v>
      </c>
      <c r="C302" s="149">
        <v>6.1000000000000014</v>
      </c>
      <c r="D302" s="141">
        <v>3579.3000000000006</v>
      </c>
      <c r="E302" s="141"/>
      <c r="F302" s="141"/>
      <c r="G302" s="141"/>
      <c r="H302" s="141"/>
      <c r="J302" s="141">
        <f t="shared" si="9"/>
        <v>1.885</v>
      </c>
      <c r="K302" s="141">
        <f t="shared" si="10"/>
        <v>8427.2399999999961</v>
      </c>
    </row>
    <row r="303" spans="1:11">
      <c r="A303" s="141">
        <v>303</v>
      </c>
      <c r="B303" s="142">
        <v>42396</v>
      </c>
      <c r="C303" s="149">
        <v>9.6000000000000014</v>
      </c>
      <c r="D303" s="141">
        <v>3588.9000000000005</v>
      </c>
      <c r="E303" s="141"/>
      <c r="F303" s="141"/>
      <c r="G303" s="141"/>
      <c r="H303" s="141"/>
      <c r="J303" s="141">
        <f t="shared" si="9"/>
        <v>1.3599999999999999</v>
      </c>
      <c r="K303" s="141">
        <f t="shared" si="10"/>
        <v>8459.8799999999956</v>
      </c>
    </row>
    <row r="304" spans="1:11">
      <c r="A304" s="141">
        <v>304</v>
      </c>
      <c r="B304" s="142">
        <v>42397</v>
      </c>
      <c r="C304" s="149">
        <v>8</v>
      </c>
      <c r="D304" s="141">
        <v>3596.9000000000005</v>
      </c>
      <c r="E304" s="141"/>
      <c r="F304" s="141"/>
      <c r="G304" s="141"/>
      <c r="H304" s="141"/>
      <c r="J304" s="141">
        <f t="shared" si="9"/>
        <v>1.6</v>
      </c>
      <c r="K304" s="141">
        <f t="shared" si="10"/>
        <v>8498.2799999999952</v>
      </c>
    </row>
    <row r="305" spans="1:11">
      <c r="A305" s="141">
        <v>305</v>
      </c>
      <c r="B305" s="142">
        <v>42398</v>
      </c>
      <c r="C305" s="149">
        <v>4.8999999999999986</v>
      </c>
      <c r="D305" s="141">
        <v>3601.8000000000006</v>
      </c>
      <c r="E305" s="141"/>
      <c r="F305" s="141"/>
      <c r="G305" s="141"/>
      <c r="H305" s="141"/>
      <c r="J305" s="141">
        <f t="shared" si="9"/>
        <v>2.0650000000000004</v>
      </c>
      <c r="K305" s="141">
        <f t="shared" si="10"/>
        <v>8547.8399999999947</v>
      </c>
    </row>
    <row r="306" spans="1:11">
      <c r="A306" s="141">
        <v>306</v>
      </c>
      <c r="B306" s="142">
        <v>42399</v>
      </c>
      <c r="C306" s="149">
        <v>6.8999999999999986</v>
      </c>
      <c r="D306" s="141">
        <v>3608.7000000000007</v>
      </c>
      <c r="E306" s="141"/>
      <c r="F306" s="141"/>
      <c r="G306" s="141"/>
      <c r="H306" s="141"/>
      <c r="J306" s="141">
        <f t="shared" si="9"/>
        <v>1.7650000000000001</v>
      </c>
      <c r="K306" s="141">
        <f t="shared" si="10"/>
        <v>8590.1999999999953</v>
      </c>
    </row>
    <row r="307" spans="1:11">
      <c r="A307" s="141">
        <v>307</v>
      </c>
      <c r="B307" s="142">
        <v>42400</v>
      </c>
      <c r="C307" s="149">
        <v>3.6000000000000014</v>
      </c>
      <c r="D307" s="141">
        <v>3612.3000000000006</v>
      </c>
      <c r="E307" s="141"/>
      <c r="F307" s="141"/>
      <c r="G307" s="141"/>
      <c r="H307" s="141"/>
      <c r="J307" s="141">
        <f t="shared" si="9"/>
        <v>2.2599999999999998</v>
      </c>
      <c r="K307" s="141">
        <f t="shared" si="10"/>
        <v>8644.4399999999951</v>
      </c>
    </row>
    <row r="308" spans="1:11">
      <c r="A308" s="141">
        <v>308</v>
      </c>
      <c r="B308" s="142">
        <v>42401</v>
      </c>
      <c r="C308" s="149">
        <v>8.1999999999999993</v>
      </c>
      <c r="D308" s="141">
        <v>3620.5000000000005</v>
      </c>
      <c r="E308" s="141"/>
      <c r="F308" s="141"/>
      <c r="G308" s="141"/>
      <c r="H308" s="141"/>
      <c r="J308" s="141">
        <f t="shared" si="9"/>
        <v>1.57</v>
      </c>
      <c r="K308" s="141">
        <f t="shared" si="10"/>
        <v>8682.1199999999953</v>
      </c>
    </row>
    <row r="309" spans="1:11">
      <c r="A309" s="141">
        <v>309</v>
      </c>
      <c r="B309" s="142">
        <v>42402</v>
      </c>
      <c r="C309" s="149">
        <v>10.199999999999999</v>
      </c>
      <c r="D309" s="141">
        <v>3630.7000000000003</v>
      </c>
      <c r="E309" s="141"/>
      <c r="F309" s="141"/>
      <c r="G309" s="141"/>
      <c r="H309" s="141"/>
      <c r="J309" s="141">
        <f t="shared" si="9"/>
        <v>1.27</v>
      </c>
      <c r="K309" s="141">
        <f t="shared" si="10"/>
        <v>8712.5999999999949</v>
      </c>
    </row>
    <row r="310" spans="1:11">
      <c r="A310" s="141">
        <v>310</v>
      </c>
      <c r="B310" s="142">
        <v>42403</v>
      </c>
      <c r="C310" s="149">
        <v>4.6000000000000014</v>
      </c>
      <c r="D310" s="141">
        <v>3635.3</v>
      </c>
      <c r="E310" s="141"/>
      <c r="F310" s="141"/>
      <c r="G310" s="141"/>
      <c r="H310" s="141"/>
      <c r="J310" s="141">
        <f t="shared" si="9"/>
        <v>2.11</v>
      </c>
      <c r="K310" s="141">
        <f t="shared" si="10"/>
        <v>8763.2399999999943</v>
      </c>
    </row>
    <row r="311" spans="1:11">
      <c r="A311" s="141">
        <v>311</v>
      </c>
      <c r="B311" s="142">
        <v>42404</v>
      </c>
      <c r="C311" s="149">
        <v>2.3999999999999986</v>
      </c>
      <c r="D311" s="141">
        <v>3637.7000000000003</v>
      </c>
      <c r="E311" s="141"/>
      <c r="F311" s="141"/>
      <c r="G311" s="141"/>
      <c r="H311" s="141"/>
      <c r="J311" s="141">
        <f t="shared" si="9"/>
        <v>2.44</v>
      </c>
      <c r="K311" s="141">
        <f t="shared" si="10"/>
        <v>8821.7999999999938</v>
      </c>
    </row>
    <row r="312" spans="1:11">
      <c r="A312" s="141">
        <v>312</v>
      </c>
      <c r="B312" s="142">
        <v>42405</v>
      </c>
      <c r="C312" s="149">
        <v>3.1999999999999993</v>
      </c>
      <c r="D312" s="141">
        <v>3640.9</v>
      </c>
      <c r="E312" s="141"/>
      <c r="F312" s="141"/>
      <c r="G312" s="141"/>
      <c r="H312" s="141"/>
      <c r="J312" s="141">
        <f t="shared" si="9"/>
        <v>2.3199999999999998</v>
      </c>
      <c r="K312" s="141">
        <f t="shared" si="10"/>
        <v>8877.4799999999941</v>
      </c>
    </row>
    <row r="313" spans="1:11">
      <c r="A313" s="141">
        <v>313</v>
      </c>
      <c r="B313" s="142">
        <v>42406</v>
      </c>
      <c r="C313" s="149">
        <v>5.3999999999999986</v>
      </c>
      <c r="D313" s="141">
        <v>3646.3</v>
      </c>
      <c r="E313" s="141"/>
      <c r="F313" s="141"/>
      <c r="G313" s="141"/>
      <c r="H313" s="141"/>
      <c r="J313" s="141">
        <f t="shared" si="9"/>
        <v>1.99</v>
      </c>
      <c r="K313" s="141">
        <f t="shared" si="10"/>
        <v>8925.2399999999943</v>
      </c>
    </row>
    <row r="314" spans="1:11">
      <c r="A314" s="141">
        <v>314</v>
      </c>
      <c r="B314" s="142">
        <v>42407</v>
      </c>
      <c r="C314" s="149">
        <v>2.8000000000000007</v>
      </c>
      <c r="D314" s="141">
        <v>3649.1000000000004</v>
      </c>
      <c r="E314" s="141"/>
      <c r="F314" s="141"/>
      <c r="G314" s="141"/>
      <c r="H314" s="141"/>
      <c r="J314" s="141">
        <f t="shared" si="9"/>
        <v>2.38</v>
      </c>
      <c r="K314" s="141">
        <f t="shared" si="10"/>
        <v>8982.3599999999951</v>
      </c>
    </row>
    <row r="315" spans="1:11">
      <c r="A315" s="141">
        <v>315</v>
      </c>
      <c r="B315" s="142">
        <v>42408</v>
      </c>
      <c r="C315" s="149">
        <v>7.6999999999999993</v>
      </c>
      <c r="D315" s="141">
        <v>3656.8</v>
      </c>
      <c r="E315" s="141"/>
      <c r="F315" s="141"/>
      <c r="G315" s="141"/>
      <c r="H315" s="141"/>
      <c r="J315" s="141">
        <f t="shared" si="9"/>
        <v>1.645</v>
      </c>
      <c r="K315" s="141">
        <f t="shared" si="10"/>
        <v>9021.8399999999947</v>
      </c>
    </row>
    <row r="316" spans="1:11">
      <c r="A316" s="141">
        <v>316</v>
      </c>
      <c r="B316" s="142">
        <v>42409</v>
      </c>
      <c r="C316" s="149">
        <v>8</v>
      </c>
      <c r="D316" s="141">
        <v>3664.8</v>
      </c>
      <c r="E316" s="141"/>
      <c r="F316" s="141"/>
      <c r="G316" s="141"/>
      <c r="H316" s="141"/>
      <c r="J316" s="141">
        <f t="shared" si="9"/>
        <v>1.6</v>
      </c>
      <c r="K316" s="141">
        <f t="shared" si="10"/>
        <v>9060.2399999999943</v>
      </c>
    </row>
    <row r="317" spans="1:11">
      <c r="A317" s="141">
        <v>317</v>
      </c>
      <c r="B317" s="142">
        <v>42410</v>
      </c>
      <c r="C317" s="149">
        <v>4.6999999999999993</v>
      </c>
      <c r="D317" s="141">
        <v>3669.5</v>
      </c>
      <c r="E317" s="141"/>
      <c r="F317" s="141"/>
      <c r="G317" s="141"/>
      <c r="H317" s="141"/>
      <c r="J317" s="141">
        <f t="shared" si="9"/>
        <v>2.0949999999999998</v>
      </c>
      <c r="K317" s="141">
        <f t="shared" si="10"/>
        <v>9110.519999999995</v>
      </c>
    </row>
    <row r="318" spans="1:11">
      <c r="A318" s="141">
        <v>318</v>
      </c>
      <c r="B318" s="142">
        <v>42411</v>
      </c>
      <c r="C318" s="149">
        <v>3.5</v>
      </c>
      <c r="D318" s="141">
        <v>3673</v>
      </c>
      <c r="E318" s="141"/>
      <c r="F318" s="141"/>
      <c r="G318" s="141"/>
      <c r="H318" s="141"/>
      <c r="J318" s="141">
        <f t="shared" si="9"/>
        <v>2.2749999999999999</v>
      </c>
      <c r="K318" s="141">
        <f t="shared" si="10"/>
        <v>9165.1199999999953</v>
      </c>
    </row>
    <row r="319" spans="1:11">
      <c r="A319" s="141">
        <v>319</v>
      </c>
      <c r="B319" s="142">
        <v>42412</v>
      </c>
      <c r="C319" s="149">
        <v>1.1999999999999993</v>
      </c>
      <c r="D319" s="141">
        <v>3674.2</v>
      </c>
      <c r="E319" s="141"/>
      <c r="F319" s="141"/>
      <c r="G319" s="141"/>
      <c r="H319" s="141"/>
      <c r="J319" s="141">
        <f t="shared" si="9"/>
        <v>2.62</v>
      </c>
      <c r="K319" s="141">
        <f t="shared" si="10"/>
        <v>9227.9999999999945</v>
      </c>
    </row>
    <row r="320" spans="1:11">
      <c r="A320" s="141">
        <v>320</v>
      </c>
      <c r="B320" s="142">
        <v>42413</v>
      </c>
      <c r="C320" s="149">
        <v>1.6000000000000014</v>
      </c>
      <c r="D320" s="141">
        <v>3675.7999999999997</v>
      </c>
      <c r="E320" s="141"/>
      <c r="F320" s="141"/>
      <c r="G320" s="141"/>
      <c r="H320" s="141"/>
      <c r="J320" s="141">
        <f t="shared" si="9"/>
        <v>2.56</v>
      </c>
      <c r="K320" s="141">
        <f t="shared" si="10"/>
        <v>9289.4399999999951</v>
      </c>
    </row>
    <row r="321" spans="1:11">
      <c r="A321" s="141">
        <v>321</v>
      </c>
      <c r="B321" s="142">
        <v>42414</v>
      </c>
      <c r="C321" s="149">
        <v>6.1000000000000014</v>
      </c>
      <c r="D321" s="141">
        <v>3681.8999999999996</v>
      </c>
      <c r="E321" s="141"/>
      <c r="F321" s="141"/>
      <c r="G321" s="141"/>
      <c r="H321" s="141"/>
      <c r="J321" s="141">
        <f t="shared" si="9"/>
        <v>1.885</v>
      </c>
      <c r="K321" s="141">
        <f t="shared" si="10"/>
        <v>9334.6799999999948</v>
      </c>
    </row>
    <row r="322" spans="1:11">
      <c r="A322" s="141">
        <v>322</v>
      </c>
      <c r="B322" s="142">
        <v>42415</v>
      </c>
      <c r="C322" s="149">
        <v>5.1000000000000014</v>
      </c>
      <c r="D322" s="141">
        <v>3686.9999999999995</v>
      </c>
      <c r="E322" s="141"/>
      <c r="F322" s="141"/>
      <c r="G322" s="141"/>
      <c r="H322" s="141"/>
      <c r="J322" s="141">
        <f t="shared" si="9"/>
        <v>2.0350000000000001</v>
      </c>
      <c r="K322" s="141">
        <f t="shared" si="10"/>
        <v>9383.519999999995</v>
      </c>
    </row>
    <row r="323" spans="1:11">
      <c r="A323" s="141">
        <v>323</v>
      </c>
      <c r="B323" s="142">
        <v>42416</v>
      </c>
      <c r="C323" s="149">
        <v>1</v>
      </c>
      <c r="D323" s="141">
        <v>3687.9999999999995</v>
      </c>
      <c r="E323" s="141"/>
      <c r="F323" s="141"/>
      <c r="G323" s="141"/>
      <c r="H323" s="141"/>
      <c r="J323" s="141">
        <f t="shared" si="9"/>
        <v>2.65</v>
      </c>
      <c r="K323" s="141">
        <f t="shared" si="10"/>
        <v>9447.1199999999953</v>
      </c>
    </row>
    <row r="324" spans="1:11">
      <c r="A324" s="141">
        <v>324</v>
      </c>
      <c r="B324" s="142">
        <v>42417</v>
      </c>
      <c r="C324" s="149">
        <v>-0.69999999999999929</v>
      </c>
      <c r="D324" s="141">
        <v>3687.2999999999997</v>
      </c>
      <c r="E324" s="141"/>
      <c r="F324" s="141"/>
      <c r="G324" s="141"/>
      <c r="H324" s="141"/>
      <c r="J324" s="141">
        <f t="shared" si="9"/>
        <v>2.9049999999999998</v>
      </c>
      <c r="K324" s="141">
        <f t="shared" si="10"/>
        <v>9516.8399999999947</v>
      </c>
    </row>
    <row r="325" spans="1:11">
      <c r="A325" s="141">
        <v>325</v>
      </c>
      <c r="B325" s="142">
        <v>42418</v>
      </c>
      <c r="C325" s="149">
        <v>1.6000000000000014</v>
      </c>
      <c r="D325" s="141">
        <v>3688.8999999999996</v>
      </c>
      <c r="E325" s="141"/>
      <c r="F325" s="141"/>
      <c r="G325" s="141"/>
      <c r="H325" s="141"/>
      <c r="J325" s="141">
        <f t="shared" si="9"/>
        <v>2.56</v>
      </c>
      <c r="K325" s="141">
        <f t="shared" si="10"/>
        <v>9578.2799999999952</v>
      </c>
    </row>
    <row r="326" spans="1:11">
      <c r="A326" s="141">
        <v>326</v>
      </c>
      <c r="B326" s="142">
        <v>42419</v>
      </c>
      <c r="C326" s="149">
        <v>2</v>
      </c>
      <c r="D326" s="141">
        <v>3690.8999999999996</v>
      </c>
      <c r="E326" s="141"/>
      <c r="F326" s="141"/>
      <c r="G326" s="141"/>
      <c r="H326" s="141"/>
      <c r="J326" s="141">
        <f t="shared" si="9"/>
        <v>2.5</v>
      </c>
      <c r="K326" s="141">
        <f t="shared" si="10"/>
        <v>9638.2799999999952</v>
      </c>
    </row>
    <row r="327" spans="1:11">
      <c r="A327" s="141">
        <v>327</v>
      </c>
      <c r="B327" s="142">
        <v>42420</v>
      </c>
      <c r="C327" s="149">
        <v>2.8000000000000007</v>
      </c>
      <c r="D327" s="141">
        <v>3693.7</v>
      </c>
      <c r="E327" s="141"/>
      <c r="F327" s="141"/>
      <c r="G327" s="141"/>
      <c r="H327" s="141"/>
      <c r="J327" s="141">
        <f t="shared" ref="J327:J390" si="11">J$1+(IF(J$3-$C327&gt;0,J$3-$C327,0)*J$2/30)</f>
        <v>2.38</v>
      </c>
      <c r="K327" s="141">
        <f t="shared" ref="K327:K390" si="12">K326+J327*24</f>
        <v>9695.399999999996</v>
      </c>
    </row>
    <row r="328" spans="1:11">
      <c r="A328" s="141">
        <v>328</v>
      </c>
      <c r="B328" s="142">
        <v>42421</v>
      </c>
      <c r="C328" s="149">
        <v>9.5</v>
      </c>
      <c r="D328" s="141">
        <v>3703.2</v>
      </c>
      <c r="E328" s="141"/>
      <c r="F328" s="141"/>
      <c r="G328" s="141"/>
      <c r="H328" s="141"/>
      <c r="J328" s="141">
        <f t="shared" si="11"/>
        <v>1.375</v>
      </c>
      <c r="K328" s="141">
        <f t="shared" si="12"/>
        <v>9728.399999999996</v>
      </c>
    </row>
    <row r="329" spans="1:11">
      <c r="A329" s="141">
        <v>329</v>
      </c>
      <c r="B329" s="142">
        <v>42422</v>
      </c>
      <c r="C329" s="149">
        <v>11</v>
      </c>
      <c r="D329" s="141">
        <v>3714.2</v>
      </c>
      <c r="E329" s="141"/>
      <c r="F329" s="141"/>
      <c r="G329" s="141"/>
      <c r="H329" s="141"/>
      <c r="J329" s="141">
        <f t="shared" si="11"/>
        <v>1.1499999999999999</v>
      </c>
      <c r="K329" s="141">
        <f t="shared" si="12"/>
        <v>9755.9999999999964</v>
      </c>
    </row>
    <row r="330" spans="1:11">
      <c r="A330" s="141">
        <v>330</v>
      </c>
      <c r="B330" s="142">
        <v>42423</v>
      </c>
      <c r="C330" s="149">
        <v>2.3000000000000007</v>
      </c>
      <c r="D330" s="141">
        <v>3716.5</v>
      </c>
      <c r="E330" s="141"/>
      <c r="F330" s="141"/>
      <c r="G330" s="141"/>
      <c r="H330" s="141"/>
      <c r="J330" s="141">
        <f t="shared" si="11"/>
        <v>2.4549999999999996</v>
      </c>
      <c r="K330" s="141">
        <f t="shared" si="12"/>
        <v>9814.9199999999964</v>
      </c>
    </row>
    <row r="331" spans="1:11">
      <c r="A331" s="141">
        <v>331</v>
      </c>
      <c r="B331" s="142">
        <v>42424</v>
      </c>
      <c r="C331" s="149">
        <v>1.8999999999999986</v>
      </c>
      <c r="D331" s="141">
        <v>3718.4</v>
      </c>
      <c r="E331" s="141"/>
      <c r="F331" s="141"/>
      <c r="G331" s="141"/>
      <c r="H331" s="141"/>
      <c r="J331" s="141">
        <f t="shared" si="11"/>
        <v>2.5150000000000001</v>
      </c>
      <c r="K331" s="141">
        <f t="shared" si="12"/>
        <v>9875.279999999997</v>
      </c>
    </row>
    <row r="332" spans="1:11">
      <c r="A332" s="141">
        <v>332</v>
      </c>
      <c r="B332" s="142">
        <v>42425</v>
      </c>
      <c r="C332" s="149">
        <v>-0.19999999999999929</v>
      </c>
      <c r="D332" s="141">
        <v>3718.2000000000003</v>
      </c>
      <c r="E332" s="141"/>
      <c r="F332" s="141"/>
      <c r="G332" s="141"/>
      <c r="H332" s="141"/>
      <c r="J332" s="141">
        <f t="shared" si="11"/>
        <v>2.8299999999999996</v>
      </c>
      <c r="K332" s="141">
        <f t="shared" si="12"/>
        <v>9943.1999999999971</v>
      </c>
    </row>
    <row r="333" spans="1:11">
      <c r="A333" s="141">
        <v>333</v>
      </c>
      <c r="B333" s="142">
        <v>42426</v>
      </c>
      <c r="C333" s="149">
        <v>-0.69999999999999929</v>
      </c>
      <c r="D333" s="141">
        <v>3717.5000000000005</v>
      </c>
      <c r="E333" s="141"/>
      <c r="F333" s="141"/>
      <c r="G333" s="141"/>
      <c r="H333" s="141"/>
      <c r="J333" s="141">
        <f t="shared" si="11"/>
        <v>2.9049999999999998</v>
      </c>
      <c r="K333" s="141">
        <f t="shared" si="12"/>
        <v>10012.919999999996</v>
      </c>
    </row>
    <row r="334" spans="1:11">
      <c r="A334" s="141">
        <v>334</v>
      </c>
      <c r="B334" s="142">
        <v>42427</v>
      </c>
      <c r="C334" s="149">
        <v>-0.60000000000000142</v>
      </c>
      <c r="D334" s="141">
        <v>3716.9000000000005</v>
      </c>
      <c r="E334" s="141"/>
      <c r="F334" s="141"/>
      <c r="G334" s="141"/>
      <c r="H334" s="141"/>
      <c r="J334" s="141">
        <f t="shared" si="11"/>
        <v>2.89</v>
      </c>
      <c r="K334" s="141">
        <f t="shared" si="12"/>
        <v>10082.279999999997</v>
      </c>
    </row>
    <row r="335" spans="1:11">
      <c r="A335" s="141">
        <v>335</v>
      </c>
      <c r="B335" s="142">
        <v>42428</v>
      </c>
      <c r="C335" s="149">
        <v>1.1999999999999993</v>
      </c>
      <c r="D335" s="141">
        <v>3718.1000000000004</v>
      </c>
      <c r="E335" s="141"/>
      <c r="F335" s="141"/>
      <c r="G335" s="141"/>
      <c r="H335" s="141"/>
      <c r="J335" s="141">
        <f t="shared" si="11"/>
        <v>2.62</v>
      </c>
      <c r="K335" s="141">
        <f t="shared" si="12"/>
        <v>10145.159999999996</v>
      </c>
    </row>
    <row r="336" spans="1:11">
      <c r="A336" s="141">
        <v>336</v>
      </c>
      <c r="B336" s="142">
        <v>42429</v>
      </c>
      <c r="C336" s="149">
        <v>1.8000000000000007</v>
      </c>
      <c r="D336" s="141">
        <v>3719.9000000000005</v>
      </c>
      <c r="E336" s="141"/>
      <c r="F336" s="141"/>
      <c r="G336" s="141"/>
      <c r="H336" s="141"/>
      <c r="J336" s="141">
        <f t="shared" si="11"/>
        <v>2.5299999999999998</v>
      </c>
      <c r="K336" s="141">
        <f t="shared" si="12"/>
        <v>10205.879999999996</v>
      </c>
    </row>
    <row r="337" spans="1:11">
      <c r="A337" s="141">
        <v>337</v>
      </c>
      <c r="B337" s="142">
        <v>42430</v>
      </c>
      <c r="C337" s="149">
        <v>-0.69999999999999929</v>
      </c>
      <c r="D337" s="141">
        <v>3719.2000000000007</v>
      </c>
      <c r="E337" s="141"/>
      <c r="F337" s="141"/>
      <c r="G337" s="141"/>
      <c r="H337" s="141"/>
      <c r="J337" s="141">
        <f t="shared" si="11"/>
        <v>2.9049999999999998</v>
      </c>
      <c r="K337" s="141">
        <f t="shared" si="12"/>
        <v>10275.599999999995</v>
      </c>
    </row>
    <row r="338" spans="1:11">
      <c r="A338" s="141">
        <v>338</v>
      </c>
      <c r="B338" s="142">
        <v>42431</v>
      </c>
      <c r="C338" s="149">
        <v>1.6999999999999993</v>
      </c>
      <c r="D338" s="141">
        <v>3720.9000000000005</v>
      </c>
      <c r="E338" s="141"/>
      <c r="F338" s="141"/>
      <c r="G338" s="141"/>
      <c r="H338" s="141"/>
      <c r="J338" s="141">
        <f t="shared" si="11"/>
        <v>2.5450000000000004</v>
      </c>
      <c r="K338" s="141">
        <f t="shared" si="12"/>
        <v>10336.679999999995</v>
      </c>
    </row>
    <row r="339" spans="1:11">
      <c r="A339" s="141">
        <v>339</v>
      </c>
      <c r="B339" s="142">
        <v>42432</v>
      </c>
      <c r="C339" s="149">
        <v>2.8999999999999986</v>
      </c>
      <c r="D339" s="141">
        <v>3723.8000000000006</v>
      </c>
      <c r="E339" s="141"/>
      <c r="F339" s="141"/>
      <c r="G339" s="141"/>
      <c r="H339" s="141"/>
      <c r="J339" s="141">
        <f t="shared" si="11"/>
        <v>2.3650000000000002</v>
      </c>
      <c r="K339" s="141">
        <f t="shared" si="12"/>
        <v>10393.439999999995</v>
      </c>
    </row>
    <row r="340" spans="1:11">
      <c r="A340" s="141">
        <v>340</v>
      </c>
      <c r="B340" s="142">
        <v>42433</v>
      </c>
      <c r="C340" s="149">
        <v>3</v>
      </c>
      <c r="D340" s="141">
        <v>3726.8000000000006</v>
      </c>
      <c r="E340" s="141"/>
      <c r="F340" s="141"/>
      <c r="G340" s="141"/>
      <c r="H340" s="141"/>
      <c r="J340" s="141">
        <f t="shared" si="11"/>
        <v>2.35</v>
      </c>
      <c r="K340" s="141">
        <f t="shared" si="12"/>
        <v>10449.839999999995</v>
      </c>
    </row>
    <row r="341" spans="1:11">
      <c r="A341" s="141">
        <v>341</v>
      </c>
      <c r="B341" s="142">
        <v>42434</v>
      </c>
      <c r="C341" s="149">
        <v>3.1000000000000014</v>
      </c>
      <c r="D341" s="141">
        <v>3729.9000000000005</v>
      </c>
      <c r="E341" s="141"/>
      <c r="F341" s="141"/>
      <c r="G341" s="141"/>
      <c r="H341" s="141"/>
      <c r="J341" s="141">
        <f t="shared" si="11"/>
        <v>2.335</v>
      </c>
      <c r="K341" s="141">
        <f t="shared" si="12"/>
        <v>10505.879999999996</v>
      </c>
    </row>
    <row r="342" spans="1:11">
      <c r="A342" s="141">
        <v>342</v>
      </c>
      <c r="B342" s="142">
        <v>42435</v>
      </c>
      <c r="C342" s="149">
        <v>3.1999999999999993</v>
      </c>
      <c r="D342" s="141">
        <v>3733.1000000000004</v>
      </c>
      <c r="E342" s="141"/>
      <c r="F342" s="141"/>
      <c r="G342" s="141"/>
      <c r="H342" s="141"/>
      <c r="J342" s="141">
        <f t="shared" si="11"/>
        <v>2.3199999999999998</v>
      </c>
      <c r="K342" s="141">
        <f t="shared" si="12"/>
        <v>10561.559999999996</v>
      </c>
    </row>
    <row r="343" spans="1:11">
      <c r="A343" s="141">
        <v>343</v>
      </c>
      <c r="B343" s="142">
        <v>42436</v>
      </c>
      <c r="C343" s="149">
        <v>1.6999999999999993</v>
      </c>
      <c r="D343" s="141">
        <v>3734.8</v>
      </c>
      <c r="E343" s="141"/>
      <c r="F343" s="141"/>
      <c r="G343" s="141"/>
      <c r="H343" s="141"/>
      <c r="J343" s="141">
        <f t="shared" si="11"/>
        <v>2.5450000000000004</v>
      </c>
      <c r="K343" s="141">
        <f t="shared" si="12"/>
        <v>10622.639999999996</v>
      </c>
    </row>
    <row r="344" spans="1:11">
      <c r="A344" s="141">
        <v>344</v>
      </c>
      <c r="B344" s="142">
        <v>42437</v>
      </c>
      <c r="C344" s="149">
        <v>1</v>
      </c>
      <c r="D344" s="141">
        <v>3735.8</v>
      </c>
      <c r="E344" s="141"/>
      <c r="F344" s="141"/>
      <c r="G344" s="141"/>
      <c r="H344" s="141"/>
      <c r="J344" s="141">
        <f t="shared" si="11"/>
        <v>2.65</v>
      </c>
      <c r="K344" s="141">
        <f t="shared" si="12"/>
        <v>10686.239999999996</v>
      </c>
    </row>
    <row r="345" spans="1:11">
      <c r="A345" s="141">
        <v>345</v>
      </c>
      <c r="B345" s="142">
        <v>42438</v>
      </c>
      <c r="C345" s="149">
        <v>0.19999999999999929</v>
      </c>
      <c r="D345" s="141">
        <v>3736</v>
      </c>
      <c r="E345" s="141"/>
      <c r="F345" s="141"/>
      <c r="G345" s="141"/>
      <c r="H345" s="141"/>
      <c r="J345" s="141">
        <f t="shared" si="11"/>
        <v>2.7700000000000005</v>
      </c>
      <c r="K345" s="141">
        <f t="shared" si="12"/>
        <v>10752.719999999996</v>
      </c>
    </row>
    <row r="346" spans="1:11">
      <c r="A346" s="141">
        <v>346</v>
      </c>
      <c r="B346" s="142">
        <v>42439</v>
      </c>
      <c r="C346" s="149">
        <v>4.1999999999999993</v>
      </c>
      <c r="D346" s="141">
        <v>3740.2</v>
      </c>
      <c r="E346" s="141"/>
      <c r="F346" s="141"/>
      <c r="G346" s="141"/>
      <c r="H346" s="141"/>
      <c r="J346" s="141">
        <f t="shared" si="11"/>
        <v>2.17</v>
      </c>
      <c r="K346" s="141">
        <f t="shared" si="12"/>
        <v>10804.799999999996</v>
      </c>
    </row>
    <row r="347" spans="1:11">
      <c r="A347" s="141">
        <v>347</v>
      </c>
      <c r="B347" s="142">
        <v>42440</v>
      </c>
      <c r="C347" s="149">
        <v>4.1999999999999993</v>
      </c>
      <c r="D347" s="141">
        <v>3744.3999999999996</v>
      </c>
      <c r="E347" s="141"/>
      <c r="F347" s="141"/>
      <c r="G347" s="141"/>
      <c r="H347" s="141"/>
      <c r="J347" s="141">
        <f t="shared" si="11"/>
        <v>2.17</v>
      </c>
      <c r="K347" s="141">
        <f t="shared" si="12"/>
        <v>10856.879999999996</v>
      </c>
    </row>
    <row r="348" spans="1:11">
      <c r="A348" s="141">
        <v>348</v>
      </c>
      <c r="B348" s="142">
        <v>42441</v>
      </c>
      <c r="C348" s="149">
        <v>3.1000000000000014</v>
      </c>
      <c r="D348" s="141">
        <v>3747.4999999999995</v>
      </c>
      <c r="E348" s="141"/>
      <c r="F348" s="141"/>
      <c r="G348" s="141"/>
      <c r="H348" s="141"/>
      <c r="J348" s="141">
        <f t="shared" si="11"/>
        <v>2.335</v>
      </c>
      <c r="K348" s="141">
        <f t="shared" si="12"/>
        <v>10912.919999999996</v>
      </c>
    </row>
    <row r="349" spans="1:11">
      <c r="A349" s="141">
        <v>349</v>
      </c>
      <c r="B349" s="142">
        <v>42442</v>
      </c>
      <c r="C349" s="149">
        <v>2.8000000000000007</v>
      </c>
      <c r="D349" s="141">
        <v>3750.2999999999997</v>
      </c>
      <c r="E349" s="141"/>
      <c r="F349" s="141"/>
      <c r="G349" s="141"/>
      <c r="H349" s="141"/>
      <c r="J349" s="141">
        <f t="shared" si="11"/>
        <v>2.38</v>
      </c>
      <c r="K349" s="141">
        <f t="shared" si="12"/>
        <v>10970.039999999997</v>
      </c>
    </row>
    <row r="350" spans="1:11">
      <c r="A350" s="141">
        <v>350</v>
      </c>
      <c r="B350" s="142">
        <v>42443</v>
      </c>
      <c r="C350" s="149">
        <v>2.6000000000000014</v>
      </c>
      <c r="D350" s="141">
        <v>3752.8999999999996</v>
      </c>
      <c r="E350" s="141"/>
      <c r="F350" s="141"/>
      <c r="G350" s="141"/>
      <c r="H350" s="141"/>
      <c r="J350" s="141">
        <f t="shared" si="11"/>
        <v>2.4099999999999997</v>
      </c>
      <c r="K350" s="141">
        <f t="shared" si="12"/>
        <v>11027.879999999997</v>
      </c>
    </row>
    <row r="351" spans="1:11">
      <c r="A351" s="141">
        <v>351</v>
      </c>
      <c r="B351" s="142">
        <v>42444</v>
      </c>
      <c r="C351" s="149">
        <v>2.1000000000000014</v>
      </c>
      <c r="D351" s="141">
        <v>3754.9999999999995</v>
      </c>
      <c r="E351" s="141"/>
      <c r="F351" s="141"/>
      <c r="G351" s="141"/>
      <c r="H351" s="141"/>
      <c r="J351" s="141">
        <f t="shared" si="11"/>
        <v>2.4849999999999999</v>
      </c>
      <c r="K351" s="141">
        <f t="shared" si="12"/>
        <v>11087.519999999997</v>
      </c>
    </row>
    <row r="352" spans="1:11">
      <c r="A352" s="141">
        <v>352</v>
      </c>
      <c r="B352" s="142">
        <v>42445</v>
      </c>
      <c r="C352" s="149">
        <v>2.6000000000000014</v>
      </c>
      <c r="D352" s="141">
        <v>3757.5999999999995</v>
      </c>
      <c r="E352" s="141"/>
      <c r="F352" s="141"/>
      <c r="G352" s="141"/>
      <c r="H352" s="141"/>
      <c r="J352" s="141">
        <f t="shared" si="11"/>
        <v>2.4099999999999997</v>
      </c>
      <c r="K352" s="141">
        <f t="shared" si="12"/>
        <v>11145.359999999997</v>
      </c>
    </row>
    <row r="353" spans="1:11">
      <c r="A353" s="141">
        <v>353</v>
      </c>
      <c r="B353" s="142">
        <v>42446</v>
      </c>
      <c r="C353" s="149">
        <v>3.3999999999999986</v>
      </c>
      <c r="D353" s="141">
        <v>3760.9999999999995</v>
      </c>
      <c r="E353" s="141"/>
      <c r="F353" s="141"/>
      <c r="G353" s="141"/>
      <c r="H353" s="141"/>
      <c r="J353" s="141">
        <f t="shared" si="11"/>
        <v>2.29</v>
      </c>
      <c r="K353" s="141">
        <f t="shared" si="12"/>
        <v>11200.319999999996</v>
      </c>
    </row>
    <row r="354" spans="1:11">
      <c r="A354" s="141">
        <v>354</v>
      </c>
      <c r="B354" s="142">
        <v>42447</v>
      </c>
      <c r="C354" s="149">
        <v>4.3999999999999986</v>
      </c>
      <c r="D354" s="141">
        <v>3765.3999999999996</v>
      </c>
      <c r="E354" s="141"/>
      <c r="F354" s="141"/>
      <c r="G354" s="141"/>
      <c r="H354" s="141"/>
      <c r="J354" s="141">
        <f t="shared" si="11"/>
        <v>2.14</v>
      </c>
      <c r="K354" s="141">
        <f t="shared" si="12"/>
        <v>11251.679999999997</v>
      </c>
    </row>
    <row r="355" spans="1:11">
      <c r="A355" s="141">
        <v>355</v>
      </c>
      <c r="B355" s="142">
        <v>42448</v>
      </c>
      <c r="C355" s="149">
        <v>4.3999999999999986</v>
      </c>
      <c r="D355" s="141">
        <v>3769.7999999999997</v>
      </c>
      <c r="E355" s="141"/>
      <c r="F355" s="141"/>
      <c r="G355" s="141"/>
      <c r="H355" s="141"/>
      <c r="J355" s="141">
        <f t="shared" si="11"/>
        <v>2.14</v>
      </c>
      <c r="K355" s="141">
        <f t="shared" si="12"/>
        <v>11303.039999999997</v>
      </c>
    </row>
    <row r="356" spans="1:11">
      <c r="A356" s="141">
        <v>356</v>
      </c>
      <c r="B356" s="142">
        <v>42449</v>
      </c>
      <c r="C356" s="149">
        <v>3.8000000000000007</v>
      </c>
      <c r="D356" s="141">
        <v>3773.6</v>
      </c>
      <c r="E356" s="141"/>
      <c r="F356" s="141"/>
      <c r="G356" s="141"/>
      <c r="H356" s="141"/>
      <c r="J356" s="141">
        <f t="shared" si="11"/>
        <v>2.23</v>
      </c>
      <c r="K356" s="141">
        <f t="shared" si="12"/>
        <v>11356.559999999998</v>
      </c>
    </row>
    <row r="357" spans="1:11">
      <c r="A357" s="141">
        <v>357</v>
      </c>
      <c r="B357" s="142">
        <v>42450</v>
      </c>
      <c r="C357" s="149">
        <v>5.8000000000000007</v>
      </c>
      <c r="D357" s="141">
        <v>3779.4</v>
      </c>
      <c r="E357" s="141"/>
      <c r="F357" s="141"/>
      <c r="G357" s="141"/>
      <c r="H357" s="141"/>
      <c r="J357" s="141">
        <f t="shared" si="11"/>
        <v>1.93</v>
      </c>
      <c r="K357" s="141">
        <f t="shared" si="12"/>
        <v>11402.879999999997</v>
      </c>
    </row>
    <row r="358" spans="1:11">
      <c r="A358" s="141">
        <v>358</v>
      </c>
      <c r="B358" s="142">
        <v>42451</v>
      </c>
      <c r="C358" s="149">
        <v>5.5</v>
      </c>
      <c r="D358" s="141">
        <v>3784.9</v>
      </c>
      <c r="E358" s="141"/>
      <c r="F358" s="141"/>
      <c r="G358" s="141"/>
      <c r="H358" s="141"/>
      <c r="J358" s="141">
        <f t="shared" si="11"/>
        <v>1.9750000000000001</v>
      </c>
      <c r="K358" s="141">
        <f t="shared" si="12"/>
        <v>11450.279999999997</v>
      </c>
    </row>
    <row r="359" spans="1:11">
      <c r="A359" s="141">
        <v>359</v>
      </c>
      <c r="B359" s="142">
        <v>42452</v>
      </c>
      <c r="C359" s="149">
        <v>4.5</v>
      </c>
      <c r="D359" s="141">
        <v>3789.4</v>
      </c>
      <c r="E359" s="141"/>
      <c r="F359" s="141"/>
      <c r="G359" s="141"/>
      <c r="H359" s="141"/>
      <c r="J359" s="141">
        <f t="shared" si="11"/>
        <v>2.125</v>
      </c>
      <c r="K359" s="141">
        <f t="shared" si="12"/>
        <v>11501.279999999997</v>
      </c>
    </row>
    <row r="360" spans="1:11">
      <c r="A360" s="141">
        <v>360</v>
      </c>
      <c r="B360" s="142">
        <v>42453</v>
      </c>
      <c r="C360" s="149">
        <v>4.1000000000000014</v>
      </c>
      <c r="D360" s="141">
        <v>3793.5</v>
      </c>
      <c r="E360" s="141"/>
      <c r="F360" s="141"/>
      <c r="G360" s="141"/>
      <c r="H360" s="141"/>
      <c r="J360" s="141">
        <f t="shared" si="11"/>
        <v>2.1849999999999996</v>
      </c>
      <c r="K360" s="141">
        <f t="shared" si="12"/>
        <v>11553.719999999998</v>
      </c>
    </row>
    <row r="361" spans="1:11">
      <c r="A361" s="141">
        <v>361</v>
      </c>
      <c r="B361" s="142">
        <v>42454</v>
      </c>
      <c r="C361" s="149">
        <v>4.8000000000000007</v>
      </c>
      <c r="D361" s="141">
        <v>3798.3</v>
      </c>
      <c r="E361" s="141"/>
      <c r="F361" s="141"/>
      <c r="G361" s="141"/>
      <c r="H361" s="141"/>
      <c r="J361" s="141">
        <f t="shared" si="11"/>
        <v>2.08</v>
      </c>
      <c r="K361" s="141">
        <f t="shared" si="12"/>
        <v>11603.639999999998</v>
      </c>
    </row>
    <row r="362" spans="1:11">
      <c r="A362" s="141">
        <v>362</v>
      </c>
      <c r="B362" s="142">
        <v>42455</v>
      </c>
      <c r="C362" s="149">
        <v>5.8999999999999986</v>
      </c>
      <c r="D362" s="141">
        <v>3804.2000000000003</v>
      </c>
      <c r="E362" s="141"/>
      <c r="F362" s="141"/>
      <c r="G362" s="141"/>
      <c r="H362" s="141"/>
      <c r="J362" s="141">
        <f t="shared" si="11"/>
        <v>1.915</v>
      </c>
      <c r="K362" s="141">
        <f t="shared" si="12"/>
        <v>11649.599999999997</v>
      </c>
    </row>
    <row r="363" spans="1:11">
      <c r="A363" s="141">
        <v>363</v>
      </c>
      <c r="B363" s="142">
        <v>42456</v>
      </c>
      <c r="C363" s="149">
        <v>9</v>
      </c>
      <c r="D363" s="141">
        <v>3813.2000000000003</v>
      </c>
      <c r="E363" s="141"/>
      <c r="F363" s="141"/>
      <c r="G363" s="141"/>
      <c r="H363" s="141"/>
      <c r="J363" s="141">
        <f t="shared" si="11"/>
        <v>1.45</v>
      </c>
      <c r="K363" s="141">
        <f t="shared" si="12"/>
        <v>11684.399999999996</v>
      </c>
    </row>
    <row r="364" spans="1:11">
      <c r="A364" s="141">
        <v>364</v>
      </c>
      <c r="B364" s="142">
        <v>42457</v>
      </c>
      <c r="C364" s="149">
        <v>10.100000000000001</v>
      </c>
      <c r="D364" s="141">
        <v>3823.3</v>
      </c>
      <c r="E364" s="141"/>
      <c r="F364" s="141"/>
      <c r="G364" s="141"/>
      <c r="H364" s="141"/>
      <c r="J364" s="141">
        <f t="shared" si="11"/>
        <v>1.2849999999999997</v>
      </c>
      <c r="K364" s="141">
        <f t="shared" si="12"/>
        <v>11715.239999999996</v>
      </c>
    </row>
    <row r="365" spans="1:11">
      <c r="A365" s="141">
        <v>365</v>
      </c>
      <c r="B365" s="142">
        <v>42458</v>
      </c>
      <c r="C365" s="149">
        <v>9.1999999999999993</v>
      </c>
      <c r="D365" s="141">
        <v>3832.5</v>
      </c>
      <c r="E365" s="141"/>
      <c r="F365" s="141"/>
      <c r="G365" s="141"/>
      <c r="H365" s="141"/>
      <c r="J365" s="141">
        <f t="shared" si="11"/>
        <v>1.4200000000000002</v>
      </c>
      <c r="K365" s="141">
        <f t="shared" si="12"/>
        <v>11749.319999999996</v>
      </c>
    </row>
    <row r="366" spans="1:11">
      <c r="A366" s="141">
        <v>366</v>
      </c>
      <c r="B366" s="142">
        <v>42459</v>
      </c>
      <c r="C366" s="149">
        <v>8.1000000000000014</v>
      </c>
      <c r="D366" s="141">
        <v>3840.6</v>
      </c>
      <c r="E366" s="141"/>
      <c r="F366" s="141"/>
      <c r="G366" s="141"/>
      <c r="H366" s="141"/>
      <c r="J366" s="141">
        <f t="shared" si="11"/>
        <v>1.585</v>
      </c>
      <c r="K366" s="141">
        <f t="shared" si="12"/>
        <v>11787.359999999997</v>
      </c>
    </row>
    <row r="367" spans="1:11">
      <c r="A367" s="141">
        <v>367</v>
      </c>
      <c r="B367" s="142">
        <v>42460</v>
      </c>
      <c r="C367" s="149">
        <v>10.3</v>
      </c>
      <c r="D367" s="141">
        <v>3850.9</v>
      </c>
      <c r="E367" s="141"/>
      <c r="F367" s="141"/>
      <c r="G367" s="141"/>
      <c r="H367" s="141"/>
      <c r="J367" s="141">
        <f t="shared" si="11"/>
        <v>1.2549999999999999</v>
      </c>
      <c r="K367" s="141">
        <f t="shared" si="12"/>
        <v>11817.479999999998</v>
      </c>
    </row>
    <row r="368" spans="1:11">
      <c r="A368" s="141">
        <v>368</v>
      </c>
      <c r="B368" s="142">
        <v>42461</v>
      </c>
      <c r="C368" s="149">
        <v>4.8000000000000007</v>
      </c>
      <c r="D368" s="141">
        <v>3855.7000000000003</v>
      </c>
      <c r="E368" s="141"/>
      <c r="F368" s="141"/>
      <c r="G368" s="141"/>
      <c r="H368" s="141"/>
      <c r="J368" s="141">
        <f t="shared" si="11"/>
        <v>2.08</v>
      </c>
      <c r="K368" s="141">
        <f t="shared" si="12"/>
        <v>11867.399999999998</v>
      </c>
    </row>
    <row r="369" spans="1:11">
      <c r="A369" s="141">
        <v>369</v>
      </c>
      <c r="B369" s="142">
        <v>42462</v>
      </c>
      <c r="C369" s="149">
        <v>6.6000000000000014</v>
      </c>
      <c r="D369" s="141">
        <v>3862.3</v>
      </c>
      <c r="E369" s="141"/>
      <c r="F369" s="141"/>
      <c r="G369" s="141"/>
      <c r="H369" s="141"/>
      <c r="J369" s="141">
        <f t="shared" si="11"/>
        <v>1.8099999999999998</v>
      </c>
      <c r="K369" s="141">
        <f t="shared" si="12"/>
        <v>11910.839999999998</v>
      </c>
    </row>
    <row r="370" spans="1:11">
      <c r="A370" s="141">
        <v>370</v>
      </c>
      <c r="B370" s="142">
        <v>42463</v>
      </c>
      <c r="C370" s="149">
        <v>10.199999999999999</v>
      </c>
      <c r="D370" s="141">
        <v>3872.5</v>
      </c>
      <c r="E370" s="141"/>
      <c r="F370" s="141"/>
      <c r="G370" s="141"/>
      <c r="H370" s="141"/>
      <c r="J370" s="141">
        <f t="shared" si="11"/>
        <v>1.27</v>
      </c>
      <c r="K370" s="141">
        <f t="shared" si="12"/>
        <v>11941.319999999998</v>
      </c>
    </row>
    <row r="371" spans="1:11">
      <c r="A371" s="141">
        <v>371</v>
      </c>
      <c r="B371" s="142">
        <v>42464</v>
      </c>
      <c r="C371" s="149">
        <v>12.899999999999999</v>
      </c>
      <c r="D371" s="141">
        <v>3885.4</v>
      </c>
      <c r="E371" s="141"/>
      <c r="F371" s="141"/>
      <c r="G371" s="141"/>
      <c r="H371" s="141"/>
      <c r="J371" s="141">
        <f t="shared" si="11"/>
        <v>0.86500000000000021</v>
      </c>
      <c r="K371" s="141">
        <f t="shared" si="12"/>
        <v>11962.079999999998</v>
      </c>
    </row>
    <row r="372" spans="1:11">
      <c r="A372" s="141">
        <v>372</v>
      </c>
      <c r="B372" s="142">
        <v>42465</v>
      </c>
      <c r="C372" s="149">
        <v>15.9</v>
      </c>
      <c r="D372" s="141">
        <v>3901.3</v>
      </c>
      <c r="E372" s="141"/>
      <c r="F372" s="141"/>
      <c r="G372" s="141"/>
      <c r="H372" s="141"/>
      <c r="J372" s="141">
        <f t="shared" si="11"/>
        <v>0.41499999999999992</v>
      </c>
      <c r="K372" s="141">
        <f t="shared" si="12"/>
        <v>11972.039999999997</v>
      </c>
    </row>
    <row r="373" spans="1:11">
      <c r="A373" s="141">
        <v>373</v>
      </c>
      <c r="B373" s="142">
        <v>42466</v>
      </c>
      <c r="C373" s="149">
        <v>13.399999999999999</v>
      </c>
      <c r="D373" s="141">
        <v>3914.7000000000003</v>
      </c>
      <c r="E373" s="141"/>
      <c r="F373" s="141"/>
      <c r="G373" s="141"/>
      <c r="H373" s="141"/>
      <c r="J373" s="141">
        <f t="shared" si="11"/>
        <v>0.79000000000000026</v>
      </c>
      <c r="K373" s="141">
        <f t="shared" si="12"/>
        <v>11990.999999999996</v>
      </c>
    </row>
    <row r="374" spans="1:11">
      <c r="A374" s="141">
        <v>374</v>
      </c>
      <c r="B374" s="142">
        <v>42467</v>
      </c>
      <c r="C374" s="149">
        <v>12.5</v>
      </c>
      <c r="D374" s="141">
        <v>3927.2000000000003</v>
      </c>
      <c r="E374" s="141"/>
      <c r="F374" s="141"/>
      <c r="G374" s="141"/>
      <c r="H374" s="141"/>
      <c r="J374" s="141">
        <f t="shared" si="11"/>
        <v>0.92500000000000004</v>
      </c>
      <c r="K374" s="141">
        <f t="shared" si="12"/>
        <v>12013.199999999997</v>
      </c>
    </row>
    <row r="375" spans="1:11">
      <c r="A375" s="141">
        <v>375</v>
      </c>
      <c r="B375" s="142">
        <v>42468</v>
      </c>
      <c r="C375" s="149">
        <v>9.6000000000000014</v>
      </c>
      <c r="D375" s="141">
        <v>3936.8</v>
      </c>
      <c r="E375" s="141"/>
      <c r="F375" s="141"/>
      <c r="G375" s="141"/>
      <c r="H375" s="141"/>
      <c r="J375" s="141">
        <f t="shared" si="11"/>
        <v>1.3599999999999999</v>
      </c>
      <c r="K375" s="141">
        <f t="shared" si="12"/>
        <v>12045.839999999997</v>
      </c>
    </row>
    <row r="376" spans="1:11">
      <c r="A376" s="141">
        <v>376</v>
      </c>
      <c r="B376" s="142">
        <v>42469</v>
      </c>
      <c r="C376" s="149">
        <v>7.1999999999999993</v>
      </c>
      <c r="D376" s="141">
        <v>3944</v>
      </c>
      <c r="E376" s="141"/>
      <c r="F376" s="141"/>
      <c r="G376" s="141"/>
      <c r="H376" s="141"/>
      <c r="J376" s="141">
        <f t="shared" si="11"/>
        <v>1.72</v>
      </c>
      <c r="K376" s="141">
        <f t="shared" si="12"/>
        <v>12087.119999999997</v>
      </c>
    </row>
    <row r="377" spans="1:11">
      <c r="A377" s="141">
        <v>377</v>
      </c>
      <c r="B377" s="142">
        <v>42470</v>
      </c>
      <c r="C377" s="149">
        <v>6</v>
      </c>
      <c r="D377" s="141">
        <v>3950</v>
      </c>
      <c r="E377" s="141"/>
      <c r="F377" s="141"/>
      <c r="G377" s="141"/>
      <c r="H377" s="141"/>
      <c r="J377" s="141">
        <f t="shared" si="11"/>
        <v>1.9</v>
      </c>
      <c r="K377" s="141">
        <f t="shared" si="12"/>
        <v>12132.719999999998</v>
      </c>
    </row>
    <row r="378" spans="1:11">
      <c r="A378" s="141">
        <v>378</v>
      </c>
      <c r="B378" s="142">
        <v>42471</v>
      </c>
      <c r="C378" s="149">
        <v>8.1999999999999993</v>
      </c>
      <c r="D378" s="141">
        <v>3958.2</v>
      </c>
      <c r="E378" s="141"/>
      <c r="F378" s="141"/>
      <c r="G378" s="141"/>
      <c r="H378" s="141"/>
      <c r="J378" s="141">
        <f t="shared" si="11"/>
        <v>1.57</v>
      </c>
      <c r="K378" s="141">
        <f t="shared" si="12"/>
        <v>12170.399999999998</v>
      </c>
    </row>
    <row r="379" spans="1:11">
      <c r="A379" s="141">
        <v>379</v>
      </c>
      <c r="B379" s="142">
        <v>42472</v>
      </c>
      <c r="C379" s="149">
        <v>11.899999999999999</v>
      </c>
      <c r="D379" s="141">
        <v>3970.1</v>
      </c>
      <c r="E379" s="141"/>
      <c r="F379" s="141"/>
      <c r="G379" s="141"/>
      <c r="H379" s="141"/>
      <c r="J379" s="141">
        <f t="shared" si="11"/>
        <v>1.0150000000000001</v>
      </c>
      <c r="K379" s="141">
        <f t="shared" si="12"/>
        <v>12194.759999999998</v>
      </c>
    </row>
    <row r="380" spans="1:11">
      <c r="A380" s="141">
        <v>380</v>
      </c>
      <c r="B380" s="142">
        <v>42473</v>
      </c>
      <c r="C380" s="149">
        <v>12.2</v>
      </c>
      <c r="D380" s="141">
        <v>3982.2999999999997</v>
      </c>
      <c r="E380" s="141"/>
      <c r="F380" s="141"/>
      <c r="G380" s="141"/>
      <c r="H380" s="141"/>
      <c r="J380" s="141">
        <f t="shared" si="11"/>
        <v>0.97000000000000008</v>
      </c>
      <c r="K380" s="141">
        <f t="shared" si="12"/>
        <v>12218.039999999999</v>
      </c>
    </row>
    <row r="381" spans="1:11">
      <c r="A381" s="141">
        <v>381</v>
      </c>
      <c r="B381" s="142">
        <v>42474</v>
      </c>
      <c r="C381" s="149">
        <v>10.399999999999999</v>
      </c>
      <c r="D381" s="141">
        <v>3992.7</v>
      </c>
      <c r="E381" s="141"/>
      <c r="F381" s="141"/>
      <c r="G381" s="141"/>
      <c r="H381" s="141"/>
      <c r="J381" s="141">
        <f t="shared" si="11"/>
        <v>1.2400000000000002</v>
      </c>
      <c r="K381" s="141">
        <f t="shared" si="12"/>
        <v>12247.8</v>
      </c>
    </row>
    <row r="382" spans="1:11">
      <c r="A382" s="141">
        <v>382</v>
      </c>
      <c r="B382" s="142">
        <v>42475</v>
      </c>
      <c r="C382" s="149">
        <v>8.3999999999999986</v>
      </c>
      <c r="D382" s="141">
        <v>4001.1</v>
      </c>
      <c r="E382" s="141"/>
      <c r="F382" s="141"/>
      <c r="G382" s="141"/>
      <c r="H382" s="141"/>
      <c r="J382" s="141">
        <f t="shared" si="11"/>
        <v>1.54</v>
      </c>
      <c r="K382" s="141">
        <f t="shared" si="12"/>
        <v>12284.759999999998</v>
      </c>
    </row>
    <row r="383" spans="1:11">
      <c r="A383" s="141">
        <v>383</v>
      </c>
      <c r="B383" s="142">
        <v>42476</v>
      </c>
      <c r="C383" s="149">
        <v>12</v>
      </c>
      <c r="D383" s="141">
        <v>4013.1</v>
      </c>
      <c r="E383" s="141"/>
      <c r="F383" s="141"/>
      <c r="G383" s="141"/>
      <c r="H383" s="141"/>
      <c r="J383" s="141">
        <f t="shared" si="11"/>
        <v>1</v>
      </c>
      <c r="K383" s="141">
        <f t="shared" si="12"/>
        <v>12308.759999999998</v>
      </c>
    </row>
    <row r="384" spans="1:11">
      <c r="A384" s="141">
        <v>384</v>
      </c>
      <c r="B384" s="142">
        <v>42477</v>
      </c>
      <c r="C384" s="149">
        <v>10.3</v>
      </c>
      <c r="D384" s="141">
        <v>4023.4</v>
      </c>
      <c r="E384" s="141"/>
      <c r="F384" s="141"/>
      <c r="G384" s="141"/>
      <c r="H384" s="141"/>
      <c r="J384" s="141">
        <f t="shared" si="11"/>
        <v>1.2549999999999999</v>
      </c>
      <c r="K384" s="141">
        <f t="shared" si="12"/>
        <v>12338.88</v>
      </c>
    </row>
    <row r="385" spans="1:11">
      <c r="A385" s="141">
        <v>385</v>
      </c>
      <c r="B385" s="142">
        <v>42478</v>
      </c>
      <c r="C385" s="149">
        <v>8.8999999999999986</v>
      </c>
      <c r="D385" s="141">
        <v>4032.3</v>
      </c>
      <c r="E385" s="141"/>
      <c r="F385" s="141"/>
      <c r="G385" s="141"/>
      <c r="H385" s="141"/>
      <c r="J385" s="141">
        <f t="shared" si="11"/>
        <v>1.4650000000000001</v>
      </c>
      <c r="K385" s="141">
        <f t="shared" si="12"/>
        <v>12374.039999999999</v>
      </c>
    </row>
    <row r="386" spans="1:11">
      <c r="A386" s="141">
        <v>386</v>
      </c>
      <c r="B386" s="142">
        <v>42479</v>
      </c>
      <c r="C386" s="149">
        <v>8.6000000000000014</v>
      </c>
      <c r="D386" s="141">
        <v>4040.9</v>
      </c>
      <c r="E386" s="141"/>
      <c r="F386" s="141"/>
      <c r="G386" s="141"/>
      <c r="H386" s="141"/>
      <c r="J386" s="141">
        <f t="shared" si="11"/>
        <v>1.51</v>
      </c>
      <c r="K386" s="141">
        <f t="shared" si="12"/>
        <v>12410.279999999999</v>
      </c>
    </row>
    <row r="387" spans="1:11">
      <c r="A387" s="141">
        <v>387</v>
      </c>
      <c r="B387" s="142">
        <v>42480</v>
      </c>
      <c r="C387" s="149">
        <v>7.8000000000000007</v>
      </c>
      <c r="D387" s="141">
        <v>4048.7000000000003</v>
      </c>
      <c r="E387" s="141"/>
      <c r="F387" s="141"/>
      <c r="G387" s="141"/>
      <c r="H387" s="141"/>
      <c r="J387" s="141">
        <f t="shared" si="11"/>
        <v>1.63</v>
      </c>
      <c r="K387" s="141">
        <f t="shared" si="12"/>
        <v>12449.4</v>
      </c>
    </row>
    <row r="388" spans="1:11">
      <c r="A388" s="141">
        <v>388</v>
      </c>
      <c r="B388" s="142">
        <v>42481</v>
      </c>
      <c r="C388" s="149">
        <v>8.6000000000000014</v>
      </c>
      <c r="D388" s="141">
        <v>4057.3</v>
      </c>
      <c r="E388" s="141"/>
      <c r="F388" s="141"/>
      <c r="G388" s="141"/>
      <c r="H388" s="141"/>
      <c r="J388" s="141">
        <f t="shared" si="11"/>
        <v>1.51</v>
      </c>
      <c r="K388" s="141">
        <f t="shared" si="12"/>
        <v>12485.64</v>
      </c>
    </row>
    <row r="389" spans="1:11">
      <c r="A389" s="141">
        <v>389</v>
      </c>
      <c r="B389" s="142">
        <v>42482</v>
      </c>
      <c r="C389" s="149">
        <v>9.5</v>
      </c>
      <c r="D389" s="141">
        <v>4066.8</v>
      </c>
      <c r="E389" s="141"/>
      <c r="F389" s="141"/>
      <c r="G389" s="141"/>
      <c r="H389" s="141"/>
      <c r="J389" s="141">
        <f t="shared" si="11"/>
        <v>1.375</v>
      </c>
      <c r="K389" s="141">
        <f t="shared" si="12"/>
        <v>12518.64</v>
      </c>
    </row>
    <row r="390" spans="1:11">
      <c r="A390" s="141">
        <v>390</v>
      </c>
      <c r="B390" s="142">
        <v>42483</v>
      </c>
      <c r="C390" s="149">
        <v>7.6999999999999993</v>
      </c>
      <c r="D390" s="141">
        <v>4074.5</v>
      </c>
      <c r="E390" s="141"/>
      <c r="F390" s="141"/>
      <c r="G390" s="141"/>
      <c r="H390" s="141"/>
      <c r="J390" s="141">
        <f t="shared" si="11"/>
        <v>1.645</v>
      </c>
      <c r="K390" s="141">
        <f t="shared" si="12"/>
        <v>12558.119999999999</v>
      </c>
    </row>
    <row r="391" spans="1:11">
      <c r="A391" s="141">
        <v>391</v>
      </c>
      <c r="B391" s="142">
        <v>42484</v>
      </c>
      <c r="C391" s="149">
        <v>3.6000000000000014</v>
      </c>
      <c r="D391" s="141">
        <v>4078.1</v>
      </c>
      <c r="E391" s="141"/>
      <c r="F391" s="141"/>
      <c r="G391" s="141"/>
      <c r="H391" s="141"/>
      <c r="J391" s="141">
        <f t="shared" ref="J391:J454" si="13">J$1+(IF(J$3-$C391&gt;0,J$3-$C391,0)*J$2/30)</f>
        <v>2.2599999999999998</v>
      </c>
      <c r="K391" s="141">
        <f t="shared" ref="K391:K454" si="14">K390+J391*24</f>
        <v>12612.359999999999</v>
      </c>
    </row>
    <row r="392" spans="1:11">
      <c r="A392" s="141">
        <v>392</v>
      </c>
      <c r="B392" s="142">
        <v>42485</v>
      </c>
      <c r="C392" s="149">
        <v>3.5</v>
      </c>
      <c r="D392" s="141">
        <v>4081.6</v>
      </c>
      <c r="E392" s="141"/>
      <c r="F392" s="141"/>
      <c r="G392" s="141"/>
      <c r="H392" s="141"/>
      <c r="J392" s="141">
        <f t="shared" si="13"/>
        <v>2.2749999999999999</v>
      </c>
      <c r="K392" s="141">
        <f t="shared" si="14"/>
        <v>12666.96</v>
      </c>
    </row>
    <row r="393" spans="1:11">
      <c r="A393" s="141">
        <v>393</v>
      </c>
      <c r="B393" s="142">
        <v>42486</v>
      </c>
      <c r="C393" s="149">
        <v>5.3000000000000007</v>
      </c>
      <c r="D393" s="141">
        <v>4086.9</v>
      </c>
      <c r="E393" s="141"/>
      <c r="F393" s="141"/>
      <c r="G393" s="141"/>
      <c r="H393" s="141"/>
      <c r="J393" s="141">
        <f t="shared" si="13"/>
        <v>2.0049999999999999</v>
      </c>
      <c r="K393" s="141">
        <f t="shared" si="14"/>
        <v>12715.08</v>
      </c>
    </row>
    <row r="394" spans="1:11">
      <c r="A394" s="141">
        <v>394</v>
      </c>
      <c r="B394" s="142">
        <v>42487</v>
      </c>
      <c r="C394" s="149">
        <v>5</v>
      </c>
      <c r="D394" s="141">
        <v>4091.9</v>
      </c>
      <c r="E394" s="141"/>
      <c r="F394" s="141"/>
      <c r="G394" s="141"/>
      <c r="H394" s="141"/>
      <c r="J394" s="141">
        <f t="shared" si="13"/>
        <v>2.0499999999999998</v>
      </c>
      <c r="K394" s="141">
        <f t="shared" si="14"/>
        <v>12764.28</v>
      </c>
    </row>
    <row r="395" spans="1:11">
      <c r="A395" s="141">
        <v>395</v>
      </c>
      <c r="B395" s="142">
        <v>42488</v>
      </c>
      <c r="C395" s="149">
        <v>5.3999999999999986</v>
      </c>
      <c r="D395" s="141">
        <v>4097.3</v>
      </c>
      <c r="E395" s="141"/>
      <c r="F395" s="141"/>
      <c r="G395" s="141"/>
      <c r="H395" s="141"/>
      <c r="J395" s="141">
        <f t="shared" si="13"/>
        <v>1.99</v>
      </c>
      <c r="K395" s="141">
        <f t="shared" si="14"/>
        <v>12812.04</v>
      </c>
    </row>
    <row r="396" spans="1:11">
      <c r="A396" s="141">
        <v>396</v>
      </c>
      <c r="B396" s="142">
        <v>42489</v>
      </c>
      <c r="C396" s="149">
        <v>6.8999999999999986</v>
      </c>
      <c r="D396" s="141">
        <v>4104.2</v>
      </c>
      <c r="E396" s="141"/>
      <c r="F396" s="141"/>
      <c r="G396" s="141"/>
      <c r="H396" s="141"/>
      <c r="J396" s="141">
        <f t="shared" si="13"/>
        <v>1.7650000000000001</v>
      </c>
      <c r="K396" s="141">
        <f t="shared" si="14"/>
        <v>12854.400000000001</v>
      </c>
    </row>
    <row r="397" spans="1:11">
      <c r="A397" s="141">
        <v>397</v>
      </c>
      <c r="B397" s="142">
        <v>42490</v>
      </c>
      <c r="C397" s="149">
        <v>10.5</v>
      </c>
      <c r="D397" s="141">
        <v>4114.7</v>
      </c>
      <c r="E397" s="141"/>
      <c r="F397" s="141"/>
      <c r="G397" s="141"/>
      <c r="H397" s="141"/>
      <c r="J397" s="141">
        <f t="shared" si="13"/>
        <v>1.2250000000000001</v>
      </c>
      <c r="K397" s="141">
        <f t="shared" si="14"/>
        <v>12883.800000000001</v>
      </c>
    </row>
    <row r="398" spans="1:11">
      <c r="A398" s="141">
        <v>398</v>
      </c>
      <c r="B398" s="142">
        <v>42491</v>
      </c>
      <c r="C398" s="149">
        <v>11.8</v>
      </c>
      <c r="D398" s="141">
        <v>4126.5</v>
      </c>
      <c r="E398" s="141"/>
      <c r="F398" s="141"/>
      <c r="G398" s="141"/>
      <c r="H398" s="141"/>
      <c r="J398" s="141">
        <f t="shared" si="13"/>
        <v>1.0299999999999998</v>
      </c>
      <c r="K398" s="141">
        <f t="shared" si="14"/>
        <v>12908.52</v>
      </c>
    </row>
    <row r="399" spans="1:11">
      <c r="A399" s="141">
        <v>399</v>
      </c>
      <c r="B399" s="142">
        <v>42492</v>
      </c>
      <c r="C399" s="149">
        <v>12.2</v>
      </c>
      <c r="D399" s="141">
        <v>4138.7</v>
      </c>
      <c r="E399" s="141"/>
      <c r="F399" s="141"/>
      <c r="G399" s="141"/>
      <c r="H399" s="141"/>
      <c r="J399" s="141">
        <f t="shared" si="13"/>
        <v>0.97000000000000008</v>
      </c>
      <c r="K399" s="141">
        <f t="shared" si="14"/>
        <v>12931.800000000001</v>
      </c>
    </row>
    <row r="400" spans="1:11">
      <c r="A400" s="141">
        <v>400</v>
      </c>
      <c r="B400" s="142">
        <v>42493</v>
      </c>
      <c r="C400" s="149">
        <v>11.600000000000001</v>
      </c>
      <c r="D400" s="141">
        <v>4150.3</v>
      </c>
      <c r="E400" s="141"/>
      <c r="F400" s="141"/>
      <c r="G400" s="141"/>
      <c r="H400" s="141"/>
      <c r="J400" s="141">
        <f t="shared" si="13"/>
        <v>1.0599999999999998</v>
      </c>
      <c r="K400" s="141">
        <f t="shared" si="14"/>
        <v>12957.240000000002</v>
      </c>
    </row>
    <row r="401" spans="1:11">
      <c r="A401" s="141">
        <v>401</v>
      </c>
      <c r="B401" s="142">
        <v>42494</v>
      </c>
      <c r="C401" s="149">
        <v>7.5</v>
      </c>
      <c r="D401" s="141">
        <v>4157.8</v>
      </c>
      <c r="E401" s="141"/>
      <c r="F401" s="141"/>
      <c r="G401" s="141"/>
      <c r="H401" s="141"/>
      <c r="J401" s="141">
        <f t="shared" si="13"/>
        <v>1.675</v>
      </c>
      <c r="K401" s="141">
        <f t="shared" si="14"/>
        <v>12997.440000000002</v>
      </c>
    </row>
    <row r="402" spans="1:11">
      <c r="A402" s="141">
        <v>402</v>
      </c>
      <c r="B402" s="142">
        <v>42495</v>
      </c>
      <c r="C402" s="149">
        <v>11.7</v>
      </c>
      <c r="D402" s="141">
        <v>4169.5</v>
      </c>
      <c r="E402" s="141"/>
      <c r="F402" s="141"/>
      <c r="G402" s="141"/>
      <c r="H402" s="141"/>
      <c r="J402" s="141">
        <f t="shared" si="13"/>
        <v>1.0449999999999999</v>
      </c>
      <c r="K402" s="141">
        <f t="shared" si="14"/>
        <v>13022.520000000002</v>
      </c>
    </row>
    <row r="403" spans="1:11">
      <c r="A403" s="141">
        <v>403</v>
      </c>
      <c r="B403" s="142">
        <v>42496</v>
      </c>
      <c r="C403" s="149">
        <v>14.6</v>
      </c>
      <c r="D403" s="141">
        <v>4184.1000000000004</v>
      </c>
      <c r="E403" s="141"/>
      <c r="F403" s="141"/>
      <c r="G403" s="141"/>
      <c r="H403" s="141"/>
      <c r="J403" s="141">
        <f t="shared" si="13"/>
        <v>0.6100000000000001</v>
      </c>
      <c r="K403" s="141">
        <f t="shared" si="14"/>
        <v>13037.160000000002</v>
      </c>
    </row>
    <row r="404" spans="1:11">
      <c r="A404" s="141">
        <v>404</v>
      </c>
      <c r="B404" s="142">
        <v>42497</v>
      </c>
      <c r="C404" s="149">
        <v>15.1</v>
      </c>
      <c r="D404" s="141">
        <v>4199.2000000000007</v>
      </c>
      <c r="E404" s="141"/>
      <c r="F404" s="141"/>
      <c r="G404" s="141"/>
      <c r="H404" s="141"/>
      <c r="J404" s="141">
        <f t="shared" si="13"/>
        <v>0.53500000000000003</v>
      </c>
      <c r="K404" s="141">
        <f t="shared" si="14"/>
        <v>13050.000000000002</v>
      </c>
    </row>
    <row r="405" spans="1:11">
      <c r="A405" s="141">
        <v>405</v>
      </c>
      <c r="B405" s="142">
        <v>42498</v>
      </c>
      <c r="C405" s="149">
        <v>14.1</v>
      </c>
      <c r="D405" s="141">
        <v>4213.3000000000011</v>
      </c>
      <c r="E405" s="141"/>
      <c r="F405" s="141"/>
      <c r="G405" s="141"/>
      <c r="H405" s="141"/>
      <c r="J405" s="141">
        <f t="shared" si="13"/>
        <v>0.68500000000000005</v>
      </c>
      <c r="K405" s="141">
        <f t="shared" si="14"/>
        <v>13066.440000000002</v>
      </c>
    </row>
    <row r="406" spans="1:11">
      <c r="A406" s="141">
        <v>406</v>
      </c>
      <c r="B406" s="142">
        <v>42499</v>
      </c>
      <c r="C406" s="149">
        <v>15.2</v>
      </c>
      <c r="D406" s="141">
        <v>4228.5000000000009</v>
      </c>
      <c r="E406" s="141"/>
      <c r="F406" s="141"/>
      <c r="G406" s="141"/>
      <c r="H406" s="141"/>
      <c r="J406" s="141">
        <f t="shared" si="13"/>
        <v>0.52000000000000013</v>
      </c>
      <c r="K406" s="141">
        <f t="shared" si="14"/>
        <v>13078.920000000002</v>
      </c>
    </row>
    <row r="407" spans="1:11">
      <c r="A407" s="141">
        <v>407</v>
      </c>
      <c r="B407" s="142">
        <v>42500</v>
      </c>
      <c r="C407" s="149">
        <v>15.3</v>
      </c>
      <c r="D407" s="141">
        <v>4243.8000000000011</v>
      </c>
      <c r="E407" s="141"/>
      <c r="F407" s="141"/>
      <c r="G407" s="141"/>
      <c r="H407" s="141"/>
      <c r="J407" s="141">
        <f t="shared" si="13"/>
        <v>0.50499999999999989</v>
      </c>
      <c r="K407" s="141">
        <f t="shared" si="14"/>
        <v>13091.040000000003</v>
      </c>
    </row>
    <row r="408" spans="1:11">
      <c r="A408" s="141">
        <v>408</v>
      </c>
      <c r="B408" s="142">
        <v>42501</v>
      </c>
      <c r="C408" s="149">
        <v>15.2</v>
      </c>
      <c r="D408" s="141">
        <v>4259.0000000000009</v>
      </c>
      <c r="E408" s="141"/>
      <c r="F408" s="141"/>
      <c r="G408" s="141"/>
      <c r="H408" s="141"/>
      <c r="J408" s="141">
        <f t="shared" si="13"/>
        <v>0.52000000000000013</v>
      </c>
      <c r="K408" s="141">
        <f t="shared" si="14"/>
        <v>13103.520000000002</v>
      </c>
    </row>
    <row r="409" spans="1:11">
      <c r="A409" s="141">
        <v>409</v>
      </c>
      <c r="B409" s="142">
        <v>42502</v>
      </c>
      <c r="C409" s="149">
        <v>14.5</v>
      </c>
      <c r="D409" s="141">
        <v>4273.5000000000009</v>
      </c>
      <c r="E409" s="141"/>
      <c r="F409" s="141"/>
      <c r="G409" s="141"/>
      <c r="H409" s="141"/>
      <c r="J409" s="141">
        <f t="shared" si="13"/>
        <v>0.625</v>
      </c>
      <c r="K409" s="141">
        <f t="shared" si="14"/>
        <v>13118.520000000002</v>
      </c>
    </row>
    <row r="410" spans="1:11">
      <c r="A410" s="141">
        <v>410</v>
      </c>
      <c r="B410" s="142">
        <v>42503</v>
      </c>
      <c r="C410" s="149">
        <v>16.7</v>
      </c>
      <c r="D410" s="141">
        <v>4290.2000000000007</v>
      </c>
      <c r="E410" s="141"/>
      <c r="F410" s="141"/>
      <c r="G410" s="141"/>
      <c r="H410" s="141"/>
      <c r="J410" s="141">
        <f t="shared" si="13"/>
        <v>0.2950000000000001</v>
      </c>
      <c r="K410" s="141">
        <f t="shared" si="14"/>
        <v>13125.600000000002</v>
      </c>
    </row>
    <row r="411" spans="1:11">
      <c r="A411" s="141">
        <v>411</v>
      </c>
      <c r="B411" s="142">
        <v>42504</v>
      </c>
      <c r="C411" s="149">
        <v>13.399999999999999</v>
      </c>
      <c r="D411" s="141">
        <v>4303.6000000000004</v>
      </c>
      <c r="E411" s="141"/>
      <c r="F411" s="141"/>
      <c r="G411" s="141"/>
      <c r="H411" s="141"/>
      <c r="J411" s="141">
        <f t="shared" si="13"/>
        <v>0.79000000000000026</v>
      </c>
      <c r="K411" s="141">
        <f t="shared" si="14"/>
        <v>13144.560000000001</v>
      </c>
    </row>
    <row r="412" spans="1:11">
      <c r="A412" s="141">
        <v>412</v>
      </c>
      <c r="B412" s="142">
        <v>42505</v>
      </c>
      <c r="C412" s="149">
        <v>7.8000000000000007</v>
      </c>
      <c r="D412" s="141">
        <v>4311.4000000000005</v>
      </c>
      <c r="E412" s="141"/>
      <c r="F412" s="141"/>
      <c r="G412" s="141"/>
      <c r="H412" s="141"/>
      <c r="J412" s="141">
        <f t="shared" si="13"/>
        <v>1.63</v>
      </c>
      <c r="K412" s="141">
        <f t="shared" si="14"/>
        <v>13183.680000000002</v>
      </c>
    </row>
    <row r="413" spans="1:11">
      <c r="A413" s="141">
        <v>413</v>
      </c>
      <c r="B413" s="142">
        <v>42506</v>
      </c>
      <c r="C413" s="149">
        <v>8.3999999999999986</v>
      </c>
      <c r="D413" s="141">
        <v>4319.8</v>
      </c>
      <c r="E413" s="141"/>
      <c r="F413" s="141"/>
      <c r="G413" s="141"/>
      <c r="H413" s="141"/>
      <c r="J413" s="141">
        <f t="shared" si="13"/>
        <v>1.54</v>
      </c>
      <c r="K413" s="141">
        <f t="shared" si="14"/>
        <v>13220.640000000001</v>
      </c>
    </row>
    <row r="414" spans="1:11">
      <c r="A414" s="141">
        <v>414</v>
      </c>
      <c r="B414" s="142">
        <v>42507</v>
      </c>
      <c r="C414" s="149">
        <v>9.8000000000000007</v>
      </c>
      <c r="D414" s="141">
        <v>4329.6000000000004</v>
      </c>
      <c r="E414" s="141"/>
      <c r="F414" s="141"/>
      <c r="G414" s="141"/>
      <c r="H414" s="141"/>
      <c r="J414" s="141">
        <f t="shared" si="13"/>
        <v>1.3299999999999998</v>
      </c>
      <c r="K414" s="141">
        <f t="shared" si="14"/>
        <v>13252.560000000001</v>
      </c>
    </row>
    <row r="415" spans="1:11">
      <c r="A415" s="141">
        <v>415</v>
      </c>
      <c r="B415" s="142">
        <v>42508</v>
      </c>
      <c r="C415" s="149">
        <v>13</v>
      </c>
      <c r="D415" s="141">
        <v>4342.6000000000004</v>
      </c>
      <c r="E415" s="141"/>
      <c r="F415" s="141"/>
      <c r="G415" s="141"/>
      <c r="H415" s="141"/>
      <c r="J415" s="141">
        <f t="shared" si="13"/>
        <v>0.85</v>
      </c>
      <c r="K415" s="141">
        <f t="shared" si="14"/>
        <v>13272.960000000001</v>
      </c>
    </row>
    <row r="416" spans="1:11">
      <c r="A416" s="141">
        <v>416</v>
      </c>
      <c r="B416" s="142">
        <v>42509</v>
      </c>
      <c r="C416" s="149">
        <v>14.3</v>
      </c>
      <c r="D416" s="141">
        <v>4356.9000000000005</v>
      </c>
      <c r="E416" s="141"/>
      <c r="F416" s="141"/>
      <c r="G416" s="141"/>
      <c r="H416" s="141"/>
      <c r="J416" s="141">
        <f t="shared" si="13"/>
        <v>0.65499999999999992</v>
      </c>
      <c r="K416" s="141">
        <f t="shared" si="14"/>
        <v>13288.68</v>
      </c>
    </row>
    <row r="417" spans="1:11">
      <c r="A417" s="141">
        <v>417</v>
      </c>
      <c r="B417" s="142">
        <v>42510</v>
      </c>
      <c r="C417" s="149">
        <v>16.399999999999999</v>
      </c>
      <c r="D417" s="141">
        <v>4373.3</v>
      </c>
      <c r="E417" s="141"/>
      <c r="F417" s="141"/>
      <c r="G417" s="141"/>
      <c r="H417" s="141"/>
      <c r="J417" s="141">
        <f t="shared" si="13"/>
        <v>0.34000000000000019</v>
      </c>
      <c r="K417" s="141">
        <f t="shared" si="14"/>
        <v>13296.84</v>
      </c>
    </row>
    <row r="418" spans="1:11">
      <c r="A418" s="141">
        <v>418</v>
      </c>
      <c r="B418" s="142">
        <v>42511</v>
      </c>
      <c r="C418" s="149">
        <v>16.3</v>
      </c>
      <c r="D418" s="141">
        <v>4389.6000000000004</v>
      </c>
      <c r="E418" s="141"/>
      <c r="F418" s="141"/>
      <c r="G418" s="141"/>
      <c r="H418" s="141"/>
      <c r="J418" s="141">
        <f t="shared" si="13"/>
        <v>0.35499999999999987</v>
      </c>
      <c r="K418" s="141">
        <f t="shared" si="14"/>
        <v>13305.36</v>
      </c>
    </row>
    <row r="419" spans="1:11">
      <c r="A419" s="141">
        <v>419</v>
      </c>
      <c r="B419" s="142">
        <v>42512</v>
      </c>
      <c r="C419" s="149">
        <v>19.600000000000001</v>
      </c>
      <c r="D419" s="141">
        <v>4409.2000000000007</v>
      </c>
      <c r="E419" s="141"/>
      <c r="F419" s="141"/>
      <c r="G419" s="141"/>
      <c r="H419" s="141"/>
      <c r="J419" s="141">
        <f t="shared" si="13"/>
        <v>0.25</v>
      </c>
      <c r="K419" s="141">
        <f t="shared" si="14"/>
        <v>13311.36</v>
      </c>
    </row>
    <row r="420" spans="1:11">
      <c r="A420" s="141">
        <v>420</v>
      </c>
      <c r="B420" s="142">
        <v>42513</v>
      </c>
      <c r="C420" s="149">
        <v>18</v>
      </c>
      <c r="D420" s="141">
        <v>4427.2000000000007</v>
      </c>
      <c r="E420" s="141"/>
      <c r="F420" s="141"/>
      <c r="G420" s="141"/>
      <c r="H420" s="141"/>
      <c r="J420" s="141">
        <f t="shared" si="13"/>
        <v>0.25</v>
      </c>
      <c r="K420" s="141">
        <f t="shared" si="14"/>
        <v>13317.36</v>
      </c>
    </row>
    <row r="421" spans="1:11">
      <c r="A421" s="141">
        <v>421</v>
      </c>
      <c r="B421" s="142">
        <v>42514</v>
      </c>
      <c r="C421" s="149">
        <v>15.8</v>
      </c>
      <c r="D421" s="141">
        <v>4443.0000000000009</v>
      </c>
      <c r="E421" s="141"/>
      <c r="F421" s="141"/>
      <c r="G421" s="141"/>
      <c r="H421" s="141"/>
      <c r="J421" s="141">
        <f t="shared" si="13"/>
        <v>0.42999999999999988</v>
      </c>
      <c r="K421" s="141">
        <f t="shared" si="14"/>
        <v>13327.68</v>
      </c>
    </row>
    <row r="422" spans="1:11">
      <c r="A422" s="141">
        <v>422</v>
      </c>
      <c r="B422" s="142">
        <v>42515</v>
      </c>
      <c r="C422" s="149">
        <v>14</v>
      </c>
      <c r="D422" s="141">
        <v>4457.0000000000009</v>
      </c>
      <c r="E422" s="141"/>
      <c r="F422" s="141"/>
      <c r="G422" s="141"/>
      <c r="H422" s="141"/>
      <c r="J422" s="141">
        <f t="shared" si="13"/>
        <v>0.7</v>
      </c>
      <c r="K422" s="141">
        <f t="shared" si="14"/>
        <v>13344.48</v>
      </c>
    </row>
    <row r="423" spans="1:11">
      <c r="A423" s="141">
        <v>423</v>
      </c>
      <c r="B423" s="142">
        <v>42516</v>
      </c>
      <c r="C423" s="149">
        <v>16</v>
      </c>
      <c r="D423" s="141">
        <v>4473.0000000000009</v>
      </c>
      <c r="E423" s="141"/>
      <c r="F423" s="141"/>
      <c r="G423" s="141"/>
      <c r="H423" s="141"/>
      <c r="J423" s="141">
        <f t="shared" si="13"/>
        <v>0.4</v>
      </c>
      <c r="K423" s="141">
        <f t="shared" si="14"/>
        <v>13354.08</v>
      </c>
    </row>
    <row r="424" spans="1:11">
      <c r="A424" s="141">
        <v>424</v>
      </c>
      <c r="B424" s="142">
        <v>42517</v>
      </c>
      <c r="C424" s="149">
        <v>16.7</v>
      </c>
      <c r="D424" s="141">
        <v>4489.7000000000007</v>
      </c>
      <c r="E424" s="141"/>
      <c r="F424" s="141"/>
      <c r="G424" s="141"/>
      <c r="H424" s="141"/>
      <c r="J424" s="141">
        <f t="shared" si="13"/>
        <v>0.2950000000000001</v>
      </c>
      <c r="K424" s="141">
        <f t="shared" si="14"/>
        <v>13361.16</v>
      </c>
    </row>
    <row r="425" spans="1:11">
      <c r="A425" s="141">
        <v>425</v>
      </c>
      <c r="B425" s="142">
        <v>42518</v>
      </c>
      <c r="C425" s="149">
        <v>17.399999999999999</v>
      </c>
      <c r="D425" s="141">
        <v>4507.1000000000004</v>
      </c>
      <c r="E425" s="141"/>
      <c r="F425" s="141"/>
      <c r="G425" s="141"/>
      <c r="H425" s="141"/>
      <c r="J425" s="141">
        <f t="shared" si="13"/>
        <v>0.25</v>
      </c>
      <c r="K425" s="141">
        <f t="shared" si="14"/>
        <v>13367.16</v>
      </c>
    </row>
    <row r="426" spans="1:11">
      <c r="A426" s="141">
        <v>426</v>
      </c>
      <c r="B426" s="142">
        <v>42519</v>
      </c>
      <c r="C426" s="149">
        <v>18.7</v>
      </c>
      <c r="D426" s="141">
        <v>4525.8</v>
      </c>
      <c r="E426" s="141"/>
      <c r="F426" s="141"/>
      <c r="G426" s="141"/>
      <c r="H426" s="141"/>
      <c r="J426" s="141">
        <f t="shared" si="13"/>
        <v>0.25</v>
      </c>
      <c r="K426" s="141">
        <f t="shared" si="14"/>
        <v>13373.16</v>
      </c>
    </row>
    <row r="427" spans="1:11">
      <c r="A427" s="141">
        <v>427</v>
      </c>
      <c r="B427" s="142">
        <v>42520</v>
      </c>
      <c r="C427" s="149">
        <v>19.399999999999999</v>
      </c>
      <c r="D427" s="141">
        <v>4545.2</v>
      </c>
      <c r="E427" s="141"/>
      <c r="F427" s="141"/>
      <c r="G427" s="141"/>
      <c r="H427" s="141"/>
      <c r="J427" s="141">
        <f t="shared" si="13"/>
        <v>0.25</v>
      </c>
      <c r="K427" s="141">
        <f t="shared" si="14"/>
        <v>13379.16</v>
      </c>
    </row>
    <row r="428" spans="1:11">
      <c r="A428" s="141">
        <v>428</v>
      </c>
      <c r="B428" s="142">
        <v>42521</v>
      </c>
      <c r="C428" s="149">
        <v>17.8</v>
      </c>
      <c r="D428" s="141">
        <v>4563</v>
      </c>
      <c r="E428" s="141"/>
      <c r="F428" s="141"/>
      <c r="G428" s="141"/>
      <c r="H428" s="141"/>
      <c r="J428" s="141">
        <f t="shared" si="13"/>
        <v>0.25</v>
      </c>
      <c r="K428" s="141">
        <f t="shared" si="14"/>
        <v>13385.16</v>
      </c>
    </row>
    <row r="429" spans="1:11">
      <c r="A429" s="141">
        <v>429</v>
      </c>
      <c r="B429" s="142">
        <v>42522</v>
      </c>
      <c r="C429" s="149">
        <v>16.899999999999999</v>
      </c>
      <c r="D429" s="141">
        <v>4579.8999999999996</v>
      </c>
      <c r="E429" s="141"/>
      <c r="F429" s="141"/>
      <c r="G429" s="141"/>
      <c r="H429" s="141"/>
      <c r="J429" s="141">
        <f t="shared" si="13"/>
        <v>0.26500000000000024</v>
      </c>
      <c r="K429" s="141">
        <f t="shared" si="14"/>
        <v>13391.52</v>
      </c>
    </row>
    <row r="430" spans="1:11">
      <c r="A430" s="141">
        <v>430</v>
      </c>
      <c r="B430" s="142">
        <v>42523</v>
      </c>
      <c r="C430" s="149">
        <v>16.5</v>
      </c>
      <c r="D430" s="141">
        <v>4596.3999999999996</v>
      </c>
      <c r="E430" s="141"/>
      <c r="F430" s="141"/>
      <c r="G430" s="141"/>
      <c r="H430" s="141"/>
      <c r="J430" s="141">
        <f t="shared" si="13"/>
        <v>0.32500000000000001</v>
      </c>
      <c r="K430" s="141">
        <f t="shared" si="14"/>
        <v>13399.32</v>
      </c>
    </row>
    <row r="431" spans="1:11">
      <c r="A431" s="141">
        <v>431</v>
      </c>
      <c r="B431" s="142">
        <v>42524</v>
      </c>
      <c r="C431" s="149">
        <v>15.9</v>
      </c>
      <c r="D431" s="141">
        <v>4612.2999999999993</v>
      </c>
      <c r="E431" s="141"/>
      <c r="F431" s="141"/>
      <c r="G431" s="141"/>
      <c r="H431" s="141"/>
      <c r="J431" s="141">
        <f t="shared" si="13"/>
        <v>0.41499999999999992</v>
      </c>
      <c r="K431" s="141">
        <f t="shared" si="14"/>
        <v>13409.279999999999</v>
      </c>
    </row>
    <row r="432" spans="1:11">
      <c r="A432" s="141">
        <v>432</v>
      </c>
      <c r="B432" s="142">
        <v>42525</v>
      </c>
      <c r="C432" s="149">
        <v>18.100000000000001</v>
      </c>
      <c r="D432" s="141">
        <v>4630.3999999999996</v>
      </c>
      <c r="E432" s="141"/>
      <c r="F432" s="141"/>
      <c r="G432" s="141"/>
      <c r="H432" s="141"/>
      <c r="J432" s="141">
        <f t="shared" si="13"/>
        <v>0.25</v>
      </c>
      <c r="K432" s="141">
        <f t="shared" si="14"/>
        <v>13415.279999999999</v>
      </c>
    </row>
    <row r="433" spans="1:11">
      <c r="A433" s="141">
        <v>433</v>
      </c>
      <c r="B433" s="142">
        <v>42526</v>
      </c>
      <c r="C433" s="149">
        <v>19.5</v>
      </c>
      <c r="D433" s="141">
        <v>4649.8999999999996</v>
      </c>
      <c r="E433" s="141"/>
      <c r="F433" s="141"/>
      <c r="G433" s="141"/>
      <c r="H433" s="141"/>
      <c r="J433" s="141">
        <f t="shared" si="13"/>
        <v>0.25</v>
      </c>
      <c r="K433" s="141">
        <f t="shared" si="14"/>
        <v>13421.279999999999</v>
      </c>
    </row>
    <row r="434" spans="1:11">
      <c r="A434" s="141">
        <v>434</v>
      </c>
      <c r="B434" s="142">
        <v>42527</v>
      </c>
      <c r="C434" s="149">
        <v>18.399999999999999</v>
      </c>
      <c r="D434" s="141">
        <v>4668.2999999999993</v>
      </c>
      <c r="E434" s="141"/>
      <c r="F434" s="141"/>
      <c r="G434" s="141"/>
      <c r="H434" s="141"/>
      <c r="J434" s="141">
        <f t="shared" si="13"/>
        <v>0.25</v>
      </c>
      <c r="K434" s="141">
        <f t="shared" si="14"/>
        <v>13427.279999999999</v>
      </c>
    </row>
    <row r="435" spans="1:11">
      <c r="A435" s="141">
        <v>435</v>
      </c>
      <c r="B435" s="142">
        <v>42528</v>
      </c>
      <c r="C435" s="149">
        <v>17.399999999999999</v>
      </c>
      <c r="D435" s="141">
        <v>4685.6999999999989</v>
      </c>
      <c r="E435" s="141"/>
      <c r="F435" s="141"/>
      <c r="G435" s="141"/>
      <c r="H435" s="141"/>
      <c r="J435" s="141">
        <f t="shared" si="13"/>
        <v>0.25</v>
      </c>
      <c r="K435" s="141">
        <f t="shared" si="14"/>
        <v>13433.279999999999</v>
      </c>
    </row>
    <row r="436" spans="1:11">
      <c r="A436" s="141">
        <v>436</v>
      </c>
      <c r="B436" s="142">
        <v>42529</v>
      </c>
      <c r="C436" s="149">
        <v>19</v>
      </c>
      <c r="D436" s="141">
        <v>4704.6999999999989</v>
      </c>
      <c r="E436" s="141"/>
      <c r="F436" s="141"/>
      <c r="G436" s="141"/>
      <c r="H436" s="141"/>
      <c r="J436" s="141">
        <f t="shared" si="13"/>
        <v>0.25</v>
      </c>
      <c r="K436" s="141">
        <f t="shared" si="14"/>
        <v>13439.279999999999</v>
      </c>
    </row>
    <row r="437" spans="1:11">
      <c r="A437" s="141">
        <v>437</v>
      </c>
      <c r="B437" s="142">
        <v>42530</v>
      </c>
      <c r="C437" s="149">
        <v>17.600000000000001</v>
      </c>
      <c r="D437" s="141">
        <v>4722.2999999999993</v>
      </c>
      <c r="E437" s="141"/>
      <c r="F437" s="141"/>
      <c r="G437" s="141"/>
      <c r="H437" s="141"/>
      <c r="J437" s="141">
        <f t="shared" si="13"/>
        <v>0.25</v>
      </c>
      <c r="K437" s="141">
        <f t="shared" si="14"/>
        <v>13445.279999999999</v>
      </c>
    </row>
    <row r="438" spans="1:11">
      <c r="A438" s="141">
        <v>438</v>
      </c>
      <c r="B438" s="142">
        <v>42531</v>
      </c>
      <c r="C438" s="149">
        <v>17.3</v>
      </c>
      <c r="D438" s="141">
        <v>4739.5999999999995</v>
      </c>
      <c r="E438" s="141"/>
      <c r="F438" s="141"/>
      <c r="G438" s="141"/>
      <c r="H438" s="141"/>
      <c r="J438" s="141">
        <f t="shared" si="13"/>
        <v>0.25</v>
      </c>
      <c r="K438" s="141">
        <f t="shared" si="14"/>
        <v>13451.279999999999</v>
      </c>
    </row>
    <row r="439" spans="1:11">
      <c r="A439" s="141">
        <v>439</v>
      </c>
      <c r="B439" s="142">
        <v>42532</v>
      </c>
      <c r="C439" s="149">
        <v>15.9</v>
      </c>
      <c r="D439" s="141">
        <v>4755.4999999999991</v>
      </c>
      <c r="E439" s="141"/>
      <c r="F439" s="141"/>
      <c r="G439" s="141"/>
      <c r="H439" s="141"/>
      <c r="J439" s="141">
        <f t="shared" si="13"/>
        <v>0.41499999999999992</v>
      </c>
      <c r="K439" s="141">
        <f t="shared" si="14"/>
        <v>13461.239999999998</v>
      </c>
    </row>
    <row r="440" spans="1:11">
      <c r="A440" s="141">
        <v>440</v>
      </c>
      <c r="B440" s="142">
        <v>42533</v>
      </c>
      <c r="C440" s="149">
        <v>15.9</v>
      </c>
      <c r="D440" s="141">
        <v>4771.3999999999987</v>
      </c>
      <c r="E440" s="141"/>
      <c r="F440" s="141"/>
      <c r="G440" s="141"/>
      <c r="H440" s="141"/>
      <c r="J440" s="141">
        <f t="shared" si="13"/>
        <v>0.41499999999999992</v>
      </c>
      <c r="K440" s="141">
        <f t="shared" si="14"/>
        <v>13471.199999999997</v>
      </c>
    </row>
    <row r="441" spans="1:11">
      <c r="A441" s="141">
        <v>441</v>
      </c>
      <c r="B441" s="142">
        <v>42534</v>
      </c>
      <c r="C441" s="149">
        <v>17.2</v>
      </c>
      <c r="D441" s="141">
        <v>4788.5999999999985</v>
      </c>
      <c r="E441" s="141"/>
      <c r="F441" s="141"/>
      <c r="G441" s="141"/>
      <c r="H441" s="141"/>
      <c r="J441" s="141">
        <f t="shared" si="13"/>
        <v>0.25</v>
      </c>
      <c r="K441" s="141">
        <f t="shared" si="14"/>
        <v>13477.199999999997</v>
      </c>
    </row>
    <row r="442" spans="1:11">
      <c r="A442" s="141">
        <v>442</v>
      </c>
      <c r="B442" s="142">
        <v>42535</v>
      </c>
      <c r="C442" s="149">
        <v>17.5</v>
      </c>
      <c r="D442" s="141">
        <v>4806.0999999999985</v>
      </c>
      <c r="E442" s="141"/>
      <c r="F442" s="141"/>
      <c r="G442" s="141"/>
      <c r="H442" s="141"/>
      <c r="J442" s="141">
        <f t="shared" si="13"/>
        <v>0.25</v>
      </c>
      <c r="K442" s="141">
        <f t="shared" si="14"/>
        <v>13483.199999999997</v>
      </c>
    </row>
    <row r="443" spans="1:11">
      <c r="A443" s="141">
        <v>443</v>
      </c>
      <c r="B443" s="142">
        <v>42536</v>
      </c>
      <c r="C443" s="149">
        <v>15.7</v>
      </c>
      <c r="D443" s="141">
        <v>4821.7999999999984</v>
      </c>
      <c r="E443" s="141"/>
      <c r="F443" s="141"/>
      <c r="G443" s="141"/>
      <c r="H443" s="141"/>
      <c r="J443" s="141">
        <f t="shared" si="13"/>
        <v>0.44500000000000012</v>
      </c>
      <c r="K443" s="141">
        <f t="shared" si="14"/>
        <v>13493.879999999997</v>
      </c>
    </row>
    <row r="444" spans="1:11">
      <c r="A444" s="141">
        <v>444</v>
      </c>
      <c r="B444" s="142">
        <v>42537</v>
      </c>
      <c r="C444" s="149">
        <v>17.600000000000001</v>
      </c>
      <c r="D444" s="141">
        <v>4839.3999999999987</v>
      </c>
      <c r="E444" s="141"/>
      <c r="F444" s="141"/>
      <c r="G444" s="141"/>
      <c r="H444" s="141"/>
      <c r="J444" s="141">
        <f t="shared" si="13"/>
        <v>0.25</v>
      </c>
      <c r="K444" s="141">
        <f t="shared" si="14"/>
        <v>13499.879999999997</v>
      </c>
    </row>
    <row r="445" spans="1:11">
      <c r="A445" s="141">
        <v>445</v>
      </c>
      <c r="B445" s="142">
        <v>42538</v>
      </c>
      <c r="C445" s="149">
        <v>15.2</v>
      </c>
      <c r="D445" s="141">
        <v>4854.5999999999985</v>
      </c>
      <c r="E445" s="141"/>
      <c r="F445" s="141"/>
      <c r="G445" s="141"/>
      <c r="H445" s="141"/>
      <c r="J445" s="141">
        <f t="shared" si="13"/>
        <v>0.52000000000000013</v>
      </c>
      <c r="K445" s="141">
        <f t="shared" si="14"/>
        <v>13512.359999999997</v>
      </c>
    </row>
    <row r="446" spans="1:11">
      <c r="A446" s="141">
        <v>446</v>
      </c>
      <c r="B446" s="142">
        <v>42539</v>
      </c>
      <c r="C446" s="149">
        <v>17.5</v>
      </c>
      <c r="D446" s="141">
        <v>4872.0999999999985</v>
      </c>
      <c r="E446" s="141"/>
      <c r="F446" s="141"/>
      <c r="G446" s="141"/>
      <c r="H446" s="141"/>
      <c r="J446" s="141">
        <f t="shared" si="13"/>
        <v>0.25</v>
      </c>
      <c r="K446" s="141">
        <f t="shared" si="14"/>
        <v>13518.359999999997</v>
      </c>
    </row>
    <row r="447" spans="1:11">
      <c r="A447" s="141">
        <v>447</v>
      </c>
      <c r="B447" s="142">
        <v>42540</v>
      </c>
      <c r="C447" s="149">
        <v>16.899999999999999</v>
      </c>
      <c r="D447" s="141">
        <v>4888.9999999999982</v>
      </c>
      <c r="E447" s="141"/>
      <c r="F447" s="141"/>
      <c r="G447" s="141"/>
      <c r="H447" s="141"/>
      <c r="J447" s="141">
        <f t="shared" si="13"/>
        <v>0.26500000000000024</v>
      </c>
      <c r="K447" s="141">
        <f t="shared" si="14"/>
        <v>13524.719999999998</v>
      </c>
    </row>
    <row r="448" spans="1:11">
      <c r="A448" s="141">
        <v>448</v>
      </c>
      <c r="B448" s="142">
        <v>42541</v>
      </c>
      <c r="C448" s="149">
        <v>16</v>
      </c>
      <c r="D448" s="141">
        <v>4904.9999999999982</v>
      </c>
      <c r="E448" s="141"/>
      <c r="F448" s="141"/>
      <c r="G448" s="141"/>
      <c r="H448" s="141"/>
      <c r="J448" s="141">
        <f t="shared" si="13"/>
        <v>0.4</v>
      </c>
      <c r="K448" s="141">
        <f t="shared" si="14"/>
        <v>13534.319999999998</v>
      </c>
    </row>
    <row r="449" spans="1:11">
      <c r="A449" s="141">
        <v>449</v>
      </c>
      <c r="B449" s="142">
        <v>42542</v>
      </c>
      <c r="C449" s="149">
        <v>18</v>
      </c>
      <c r="D449" s="141">
        <v>4922.9999999999982</v>
      </c>
      <c r="E449" s="141"/>
      <c r="F449" s="141"/>
      <c r="G449" s="141"/>
      <c r="H449" s="141"/>
      <c r="J449" s="141">
        <f t="shared" si="13"/>
        <v>0.25</v>
      </c>
      <c r="K449" s="141">
        <f t="shared" si="14"/>
        <v>13540.319999999998</v>
      </c>
    </row>
    <row r="450" spans="1:11">
      <c r="A450" s="141">
        <v>450</v>
      </c>
      <c r="B450" s="142">
        <v>42543</v>
      </c>
      <c r="C450" s="149">
        <v>20.100000000000001</v>
      </c>
      <c r="D450" s="141">
        <v>4943.0999999999985</v>
      </c>
      <c r="E450" s="141"/>
      <c r="F450" s="141"/>
      <c r="G450" s="141"/>
      <c r="H450" s="141"/>
      <c r="J450" s="141">
        <f t="shared" si="13"/>
        <v>0.25</v>
      </c>
      <c r="K450" s="141">
        <f t="shared" si="14"/>
        <v>13546.319999999998</v>
      </c>
    </row>
    <row r="451" spans="1:11">
      <c r="A451" s="141">
        <v>451</v>
      </c>
      <c r="B451" s="142">
        <v>42544</v>
      </c>
      <c r="C451" s="149">
        <v>23.4</v>
      </c>
      <c r="D451" s="141">
        <v>4966.4999999999982</v>
      </c>
      <c r="E451" s="141"/>
      <c r="F451" s="141"/>
      <c r="G451" s="141"/>
      <c r="H451" s="141"/>
      <c r="J451" s="141">
        <f t="shared" si="13"/>
        <v>0.25</v>
      </c>
      <c r="K451" s="141">
        <f t="shared" si="14"/>
        <v>13552.319999999998</v>
      </c>
    </row>
    <row r="452" spans="1:11">
      <c r="A452" s="141">
        <v>452</v>
      </c>
      <c r="B452" s="142">
        <v>42545</v>
      </c>
      <c r="C452" s="149">
        <v>24.8</v>
      </c>
      <c r="D452" s="141">
        <v>4991.2999999999984</v>
      </c>
      <c r="E452" s="141"/>
      <c r="F452" s="141"/>
      <c r="G452" s="141"/>
      <c r="H452" s="141"/>
      <c r="J452" s="141">
        <f t="shared" si="13"/>
        <v>0.25</v>
      </c>
      <c r="K452" s="141">
        <f t="shared" si="14"/>
        <v>13558.319999999998</v>
      </c>
    </row>
    <row r="453" spans="1:11">
      <c r="A453" s="141">
        <v>453</v>
      </c>
      <c r="B453" s="142">
        <v>42546</v>
      </c>
      <c r="C453" s="149">
        <v>24.6</v>
      </c>
      <c r="D453" s="141">
        <v>5015.8999999999987</v>
      </c>
      <c r="E453" s="141"/>
      <c r="F453" s="141"/>
      <c r="G453" s="141"/>
      <c r="H453" s="141"/>
      <c r="J453" s="141">
        <f t="shared" si="13"/>
        <v>0.25</v>
      </c>
      <c r="K453" s="141">
        <f t="shared" si="14"/>
        <v>13564.319999999998</v>
      </c>
    </row>
    <row r="454" spans="1:11">
      <c r="A454" s="141">
        <v>454</v>
      </c>
      <c r="B454" s="142">
        <v>42547</v>
      </c>
      <c r="C454" s="149">
        <v>18.899999999999999</v>
      </c>
      <c r="D454" s="141">
        <v>5034.7999999999984</v>
      </c>
      <c r="E454" s="141"/>
      <c r="F454" s="141"/>
      <c r="G454" s="141"/>
      <c r="H454" s="141"/>
      <c r="J454" s="141">
        <f t="shared" si="13"/>
        <v>0.25</v>
      </c>
      <c r="K454" s="141">
        <f t="shared" si="14"/>
        <v>13570.319999999998</v>
      </c>
    </row>
    <row r="455" spans="1:11">
      <c r="A455" s="141">
        <v>455</v>
      </c>
      <c r="B455" s="142">
        <v>42548</v>
      </c>
      <c r="C455" s="149">
        <v>17.2</v>
      </c>
      <c r="D455" s="141">
        <v>5051.9999999999982</v>
      </c>
      <c r="E455" s="141"/>
      <c r="F455" s="141"/>
      <c r="G455" s="141"/>
      <c r="H455" s="141"/>
      <c r="J455" s="141">
        <f t="shared" ref="J455:J518" si="15">J$1+(IF(J$3-$C455&gt;0,J$3-$C455,0)*J$2/30)</f>
        <v>0.25</v>
      </c>
      <c r="K455" s="141">
        <f t="shared" ref="K455:K518" si="16">K454+J455*24</f>
        <v>13576.319999999998</v>
      </c>
    </row>
    <row r="456" spans="1:11">
      <c r="A456" s="141">
        <v>456</v>
      </c>
      <c r="B456" s="142">
        <v>42549</v>
      </c>
      <c r="C456" s="149">
        <v>18.100000000000001</v>
      </c>
      <c r="D456" s="141">
        <v>5070.0999999999985</v>
      </c>
      <c r="E456" s="141"/>
      <c r="F456" s="141"/>
      <c r="G456" s="141"/>
      <c r="H456" s="141"/>
      <c r="J456" s="141">
        <f t="shared" si="15"/>
        <v>0.25</v>
      </c>
      <c r="K456" s="141">
        <f t="shared" si="16"/>
        <v>13582.319999999998</v>
      </c>
    </row>
    <row r="457" spans="1:11">
      <c r="A457" s="141">
        <v>457</v>
      </c>
      <c r="B457" s="142">
        <v>42550</v>
      </c>
      <c r="C457" s="149">
        <v>21.9</v>
      </c>
      <c r="D457" s="141">
        <v>5091.9999999999982</v>
      </c>
      <c r="E457" s="141"/>
      <c r="F457" s="141"/>
      <c r="G457" s="141"/>
      <c r="H457" s="141"/>
      <c r="J457" s="141">
        <f t="shared" si="15"/>
        <v>0.25</v>
      </c>
      <c r="K457" s="141">
        <f t="shared" si="16"/>
        <v>13588.319999999998</v>
      </c>
    </row>
    <row r="458" spans="1:11">
      <c r="A458" s="141">
        <v>458</v>
      </c>
      <c r="B458" s="142">
        <v>42551</v>
      </c>
      <c r="C458" s="149">
        <v>20.3</v>
      </c>
      <c r="D458" s="141">
        <v>5112.2999999999984</v>
      </c>
      <c r="E458" s="141"/>
      <c r="F458" s="141"/>
      <c r="G458" s="141"/>
      <c r="H458" s="141"/>
      <c r="J458" s="141">
        <f t="shared" si="15"/>
        <v>0.25</v>
      </c>
      <c r="K458" s="141">
        <f t="shared" si="16"/>
        <v>13594.319999999998</v>
      </c>
    </row>
    <row r="459" spans="1:11">
      <c r="A459" s="141">
        <v>459</v>
      </c>
      <c r="B459" s="142">
        <v>42552</v>
      </c>
      <c r="C459" s="149">
        <v>22.2</v>
      </c>
      <c r="D459" s="141">
        <v>5134.4999999999982</v>
      </c>
      <c r="E459" s="141"/>
      <c r="F459" s="141"/>
      <c r="G459" s="141"/>
      <c r="H459" s="141"/>
      <c r="J459" s="141">
        <f t="shared" si="15"/>
        <v>0.25</v>
      </c>
      <c r="K459" s="141">
        <f t="shared" si="16"/>
        <v>13600.319999999998</v>
      </c>
    </row>
    <row r="460" spans="1:11">
      <c r="A460" s="141">
        <v>460</v>
      </c>
      <c r="B460" s="142">
        <v>42553</v>
      </c>
      <c r="C460" s="149">
        <v>20.2</v>
      </c>
      <c r="D460" s="141">
        <v>5154.699999999998</v>
      </c>
      <c r="E460" s="141"/>
      <c r="F460" s="141"/>
      <c r="G460" s="141"/>
      <c r="H460" s="141"/>
      <c r="J460" s="141">
        <f t="shared" si="15"/>
        <v>0.25</v>
      </c>
      <c r="K460" s="141">
        <f t="shared" si="16"/>
        <v>13606.319999999998</v>
      </c>
    </row>
    <row r="461" spans="1:11">
      <c r="A461" s="141">
        <v>461</v>
      </c>
      <c r="B461" s="142">
        <v>42554</v>
      </c>
      <c r="C461" s="149">
        <v>16.2</v>
      </c>
      <c r="D461" s="141">
        <v>5170.8999999999978</v>
      </c>
      <c r="E461" s="141"/>
      <c r="F461" s="141"/>
      <c r="G461" s="141"/>
      <c r="H461" s="141"/>
      <c r="J461" s="141">
        <f t="shared" si="15"/>
        <v>0.37000000000000011</v>
      </c>
      <c r="K461" s="141">
        <f t="shared" si="16"/>
        <v>13615.199999999997</v>
      </c>
    </row>
    <row r="462" spans="1:11">
      <c r="A462" s="141">
        <v>462</v>
      </c>
      <c r="B462" s="142">
        <v>42555</v>
      </c>
      <c r="C462" s="149">
        <v>17.100000000000001</v>
      </c>
      <c r="D462" s="141">
        <v>5187.9999999999982</v>
      </c>
      <c r="E462" s="141"/>
      <c r="F462" s="141"/>
      <c r="G462" s="141"/>
      <c r="H462" s="141"/>
      <c r="J462" s="141">
        <f t="shared" si="15"/>
        <v>0.25</v>
      </c>
      <c r="K462" s="141">
        <f t="shared" si="16"/>
        <v>13621.199999999997</v>
      </c>
    </row>
    <row r="463" spans="1:11">
      <c r="A463" s="141">
        <v>463</v>
      </c>
      <c r="B463" s="142">
        <v>42556</v>
      </c>
      <c r="C463" s="149">
        <v>19.399999999999999</v>
      </c>
      <c r="D463" s="141">
        <v>5207.3999999999978</v>
      </c>
      <c r="E463" s="141"/>
      <c r="F463" s="141"/>
      <c r="G463" s="141"/>
      <c r="H463" s="141"/>
      <c r="J463" s="141">
        <f t="shared" si="15"/>
        <v>0.25</v>
      </c>
      <c r="K463" s="141">
        <f t="shared" si="16"/>
        <v>13627.199999999997</v>
      </c>
    </row>
    <row r="464" spans="1:11">
      <c r="A464" s="141">
        <v>464</v>
      </c>
      <c r="B464" s="142">
        <v>42557</v>
      </c>
      <c r="C464" s="149">
        <v>17.399999999999999</v>
      </c>
      <c r="D464" s="141">
        <v>5224.7999999999975</v>
      </c>
      <c r="E464" s="141"/>
      <c r="F464" s="141"/>
      <c r="G464" s="141"/>
      <c r="H464" s="141"/>
      <c r="J464" s="141">
        <f t="shared" si="15"/>
        <v>0.25</v>
      </c>
      <c r="K464" s="141">
        <f t="shared" si="16"/>
        <v>13633.199999999997</v>
      </c>
    </row>
    <row r="465" spans="1:11">
      <c r="A465" s="141">
        <v>465</v>
      </c>
      <c r="B465" s="142">
        <v>42558</v>
      </c>
      <c r="C465" s="149">
        <v>17.100000000000001</v>
      </c>
      <c r="D465" s="141">
        <v>5241.8999999999978</v>
      </c>
      <c r="E465" s="141"/>
      <c r="F465" s="141"/>
      <c r="G465" s="141"/>
      <c r="H465" s="141"/>
      <c r="J465" s="141">
        <f t="shared" si="15"/>
        <v>0.25</v>
      </c>
      <c r="K465" s="141">
        <f t="shared" si="16"/>
        <v>13639.199999999997</v>
      </c>
    </row>
    <row r="466" spans="1:11">
      <c r="A466" s="141">
        <v>466</v>
      </c>
      <c r="B466" s="142">
        <v>42559</v>
      </c>
      <c r="C466" s="149">
        <v>20.8</v>
      </c>
      <c r="D466" s="141">
        <v>5262.699999999998</v>
      </c>
      <c r="E466" s="141"/>
      <c r="F466" s="141"/>
      <c r="G466" s="141"/>
      <c r="H466" s="141"/>
      <c r="J466" s="141">
        <f t="shared" si="15"/>
        <v>0.25</v>
      </c>
      <c r="K466" s="141">
        <f t="shared" si="16"/>
        <v>13645.199999999997</v>
      </c>
    </row>
    <row r="467" spans="1:11">
      <c r="A467" s="141">
        <v>467</v>
      </c>
      <c r="B467" s="142">
        <v>42560</v>
      </c>
      <c r="C467" s="149">
        <v>20.6</v>
      </c>
      <c r="D467" s="141">
        <v>5283.2999999999984</v>
      </c>
      <c r="E467" s="141"/>
      <c r="F467" s="141"/>
      <c r="G467" s="141"/>
      <c r="H467" s="141"/>
      <c r="J467" s="141">
        <f t="shared" si="15"/>
        <v>0.25</v>
      </c>
      <c r="K467" s="141">
        <f t="shared" si="16"/>
        <v>13651.199999999997</v>
      </c>
    </row>
    <row r="468" spans="1:11">
      <c r="A468" s="141">
        <v>468</v>
      </c>
      <c r="B468" s="142">
        <v>42561</v>
      </c>
      <c r="C468" s="149">
        <v>22.7</v>
      </c>
      <c r="D468" s="141">
        <v>5305.9999999999982</v>
      </c>
      <c r="E468" s="141"/>
      <c r="F468" s="141"/>
      <c r="G468" s="141"/>
      <c r="H468" s="141"/>
      <c r="J468" s="141">
        <f t="shared" si="15"/>
        <v>0.25</v>
      </c>
      <c r="K468" s="141">
        <f t="shared" si="16"/>
        <v>13657.199999999997</v>
      </c>
    </row>
    <row r="469" spans="1:11">
      <c r="A469" s="141">
        <v>469</v>
      </c>
      <c r="B469" s="142">
        <v>42562</v>
      </c>
      <c r="C469" s="149">
        <v>26.1</v>
      </c>
      <c r="D469" s="141">
        <v>5332.0999999999985</v>
      </c>
      <c r="E469" s="141"/>
      <c r="F469" s="141"/>
      <c r="G469" s="141"/>
      <c r="H469" s="141"/>
      <c r="J469" s="141">
        <f t="shared" si="15"/>
        <v>0.25</v>
      </c>
      <c r="K469" s="141">
        <f t="shared" si="16"/>
        <v>13663.199999999997</v>
      </c>
    </row>
    <row r="470" spans="1:11">
      <c r="A470" s="141">
        <v>470</v>
      </c>
      <c r="B470" s="142">
        <v>42563</v>
      </c>
      <c r="C470" s="149">
        <v>21.5</v>
      </c>
      <c r="D470" s="141">
        <v>5353.5999999999985</v>
      </c>
      <c r="E470" s="141"/>
      <c r="F470" s="141"/>
      <c r="G470" s="141"/>
      <c r="H470" s="141"/>
      <c r="J470" s="141">
        <f t="shared" si="15"/>
        <v>0.25</v>
      </c>
      <c r="K470" s="141">
        <f t="shared" si="16"/>
        <v>13669.199999999997</v>
      </c>
    </row>
    <row r="471" spans="1:11">
      <c r="A471" s="141">
        <v>471</v>
      </c>
      <c r="B471" s="142">
        <v>42564</v>
      </c>
      <c r="C471" s="149">
        <v>18.899999999999999</v>
      </c>
      <c r="D471" s="141">
        <v>5372.4999999999982</v>
      </c>
      <c r="E471" s="141"/>
      <c r="F471" s="141"/>
      <c r="G471" s="141"/>
      <c r="H471" s="141"/>
      <c r="J471" s="141">
        <f t="shared" si="15"/>
        <v>0.25</v>
      </c>
      <c r="K471" s="141">
        <f t="shared" si="16"/>
        <v>13675.199999999997</v>
      </c>
    </row>
    <row r="472" spans="1:11">
      <c r="A472" s="141">
        <v>472</v>
      </c>
      <c r="B472" s="142">
        <v>42565</v>
      </c>
      <c r="C472" s="149">
        <v>13.899999999999999</v>
      </c>
      <c r="D472" s="141">
        <v>5386.3999999999978</v>
      </c>
      <c r="E472" s="141"/>
      <c r="F472" s="141"/>
      <c r="G472" s="141"/>
      <c r="H472" s="141"/>
      <c r="J472" s="141">
        <f t="shared" si="15"/>
        <v>0.71500000000000019</v>
      </c>
      <c r="K472" s="141">
        <f t="shared" si="16"/>
        <v>13692.359999999997</v>
      </c>
    </row>
    <row r="473" spans="1:11">
      <c r="A473" s="141">
        <v>473</v>
      </c>
      <c r="B473" s="142">
        <v>42566</v>
      </c>
      <c r="C473" s="149">
        <v>14.7</v>
      </c>
      <c r="D473" s="141">
        <v>5401.0999999999976</v>
      </c>
      <c r="E473" s="141"/>
      <c r="F473" s="141"/>
      <c r="G473" s="141"/>
      <c r="H473" s="141"/>
      <c r="J473" s="141">
        <f t="shared" si="15"/>
        <v>0.59500000000000008</v>
      </c>
      <c r="K473" s="141">
        <f t="shared" si="16"/>
        <v>13706.639999999998</v>
      </c>
    </row>
    <row r="474" spans="1:11">
      <c r="A474" s="141">
        <v>474</v>
      </c>
      <c r="B474" s="142">
        <v>42567</v>
      </c>
      <c r="C474" s="149">
        <v>17</v>
      </c>
      <c r="D474" s="141">
        <v>5418.0999999999976</v>
      </c>
      <c r="E474" s="141"/>
      <c r="F474" s="141"/>
      <c r="G474" s="141"/>
      <c r="H474" s="141"/>
      <c r="J474" s="141">
        <f t="shared" si="15"/>
        <v>0.25</v>
      </c>
      <c r="K474" s="141">
        <f t="shared" si="16"/>
        <v>13712.639999999998</v>
      </c>
    </row>
    <row r="475" spans="1:11">
      <c r="A475" s="141">
        <v>475</v>
      </c>
      <c r="B475" s="142">
        <v>42568</v>
      </c>
      <c r="C475" s="149">
        <v>17.7</v>
      </c>
      <c r="D475" s="141">
        <v>5435.7999999999975</v>
      </c>
      <c r="E475" s="141"/>
      <c r="F475" s="141"/>
      <c r="G475" s="141"/>
      <c r="H475" s="141"/>
      <c r="J475" s="141">
        <f t="shared" si="15"/>
        <v>0.25</v>
      </c>
      <c r="K475" s="141">
        <f t="shared" si="16"/>
        <v>13718.639999999998</v>
      </c>
    </row>
    <row r="476" spans="1:11">
      <c r="A476" s="141">
        <v>476</v>
      </c>
      <c r="B476" s="142">
        <v>42569</v>
      </c>
      <c r="C476" s="149">
        <v>20</v>
      </c>
      <c r="D476" s="141">
        <v>5455.7999999999975</v>
      </c>
      <c r="E476" s="141"/>
      <c r="F476" s="141"/>
      <c r="G476" s="141"/>
      <c r="H476" s="141"/>
      <c r="J476" s="141">
        <f t="shared" si="15"/>
        <v>0.25</v>
      </c>
      <c r="K476" s="141">
        <f t="shared" si="16"/>
        <v>13724.639999999998</v>
      </c>
    </row>
    <row r="477" spans="1:11">
      <c r="A477" s="141">
        <v>477</v>
      </c>
      <c r="B477" s="142">
        <v>42570</v>
      </c>
      <c r="C477" s="149">
        <v>21.1</v>
      </c>
      <c r="D477" s="141">
        <v>5476.8999999999978</v>
      </c>
      <c r="E477" s="141"/>
      <c r="F477" s="141"/>
      <c r="G477" s="141"/>
      <c r="H477" s="141"/>
      <c r="J477" s="141">
        <f t="shared" si="15"/>
        <v>0.25</v>
      </c>
      <c r="K477" s="141">
        <f t="shared" si="16"/>
        <v>13730.639999999998</v>
      </c>
    </row>
    <row r="478" spans="1:11">
      <c r="A478" s="141">
        <v>478</v>
      </c>
      <c r="B478" s="142">
        <v>42571</v>
      </c>
      <c r="C478" s="149">
        <v>21.4</v>
      </c>
      <c r="D478" s="141">
        <v>5498.2999999999975</v>
      </c>
      <c r="E478" s="141"/>
      <c r="F478" s="141"/>
      <c r="G478" s="141"/>
      <c r="H478" s="141"/>
      <c r="J478" s="141">
        <f t="shared" si="15"/>
        <v>0.25</v>
      </c>
      <c r="K478" s="141">
        <f t="shared" si="16"/>
        <v>13736.639999999998</v>
      </c>
    </row>
    <row r="479" spans="1:11">
      <c r="A479" s="141">
        <v>479</v>
      </c>
      <c r="B479" s="142">
        <v>42572</v>
      </c>
      <c r="C479" s="149">
        <v>21.3</v>
      </c>
      <c r="D479" s="141">
        <v>5519.5999999999976</v>
      </c>
      <c r="E479" s="141"/>
      <c r="F479" s="141"/>
      <c r="G479" s="141"/>
      <c r="H479" s="141"/>
      <c r="J479" s="141">
        <f t="shared" si="15"/>
        <v>0.25</v>
      </c>
      <c r="K479" s="141">
        <f t="shared" si="16"/>
        <v>13742.639999999998</v>
      </c>
    </row>
    <row r="480" spans="1:11">
      <c r="A480" s="141">
        <v>480</v>
      </c>
      <c r="B480" s="142">
        <v>42573</v>
      </c>
      <c r="C480" s="149">
        <v>22.3</v>
      </c>
      <c r="D480" s="141">
        <v>5541.8999999999978</v>
      </c>
      <c r="E480" s="141"/>
      <c r="F480" s="141"/>
      <c r="G480" s="141"/>
      <c r="H480" s="141"/>
      <c r="J480" s="141">
        <f t="shared" si="15"/>
        <v>0.25</v>
      </c>
      <c r="K480" s="141">
        <f t="shared" si="16"/>
        <v>13748.639999999998</v>
      </c>
    </row>
    <row r="481" spans="1:11">
      <c r="A481" s="141">
        <v>481</v>
      </c>
      <c r="B481" s="142">
        <v>42574</v>
      </c>
      <c r="C481" s="149">
        <v>22.4</v>
      </c>
      <c r="D481" s="141">
        <v>5564.2999999999975</v>
      </c>
      <c r="E481" s="141"/>
      <c r="F481" s="141"/>
      <c r="G481" s="141"/>
      <c r="H481" s="141"/>
      <c r="J481" s="141">
        <f t="shared" si="15"/>
        <v>0.25</v>
      </c>
      <c r="K481" s="141">
        <f t="shared" si="16"/>
        <v>13754.639999999998</v>
      </c>
    </row>
    <row r="482" spans="1:11">
      <c r="A482" s="141">
        <v>482</v>
      </c>
      <c r="B482" s="142">
        <v>42575</v>
      </c>
      <c r="C482" s="149">
        <v>20.6</v>
      </c>
      <c r="D482" s="141">
        <v>5584.8999999999978</v>
      </c>
      <c r="E482" s="141"/>
      <c r="F482" s="141"/>
      <c r="G482" s="141"/>
      <c r="H482" s="141"/>
      <c r="J482" s="141">
        <f t="shared" si="15"/>
        <v>0.25</v>
      </c>
      <c r="K482" s="141">
        <f t="shared" si="16"/>
        <v>13760.639999999998</v>
      </c>
    </row>
    <row r="483" spans="1:11">
      <c r="A483" s="141">
        <v>483</v>
      </c>
      <c r="B483" s="142">
        <v>42576</v>
      </c>
      <c r="C483" s="149">
        <v>22.7</v>
      </c>
      <c r="D483" s="141">
        <v>5607.5999999999976</v>
      </c>
      <c r="E483" s="141"/>
      <c r="F483" s="141"/>
      <c r="G483" s="141"/>
      <c r="H483" s="141"/>
      <c r="J483" s="141">
        <f t="shared" si="15"/>
        <v>0.25</v>
      </c>
      <c r="K483" s="141">
        <f t="shared" si="16"/>
        <v>13766.639999999998</v>
      </c>
    </row>
    <row r="484" spans="1:11">
      <c r="A484" s="141">
        <v>484</v>
      </c>
      <c r="B484" s="142">
        <v>42577</v>
      </c>
      <c r="C484" s="149">
        <v>22.1</v>
      </c>
      <c r="D484" s="141">
        <v>5629.699999999998</v>
      </c>
      <c r="E484" s="141"/>
      <c r="F484" s="141"/>
      <c r="G484" s="141"/>
      <c r="H484" s="141"/>
      <c r="J484" s="141">
        <f t="shared" si="15"/>
        <v>0.25</v>
      </c>
      <c r="K484" s="141">
        <f t="shared" si="16"/>
        <v>13772.639999999998</v>
      </c>
    </row>
    <row r="485" spans="1:11">
      <c r="A485" s="141">
        <v>485</v>
      </c>
      <c r="B485" s="142">
        <v>42578</v>
      </c>
      <c r="C485" s="149">
        <v>20.6</v>
      </c>
      <c r="D485" s="141">
        <v>5650.2999999999984</v>
      </c>
      <c r="E485" s="141"/>
      <c r="F485" s="141"/>
      <c r="G485" s="141"/>
      <c r="H485" s="141"/>
      <c r="J485" s="141">
        <f t="shared" si="15"/>
        <v>0.25</v>
      </c>
      <c r="K485" s="141">
        <f t="shared" si="16"/>
        <v>13778.639999999998</v>
      </c>
    </row>
    <row r="486" spans="1:11">
      <c r="A486" s="141">
        <v>486</v>
      </c>
      <c r="B486" s="142">
        <v>42579</v>
      </c>
      <c r="C486" s="149">
        <v>20.8</v>
      </c>
      <c r="D486" s="141">
        <v>5671.0999999999985</v>
      </c>
      <c r="E486" s="141"/>
      <c r="F486" s="141"/>
      <c r="G486" s="141"/>
      <c r="H486" s="141"/>
      <c r="J486" s="141">
        <f t="shared" si="15"/>
        <v>0.25</v>
      </c>
      <c r="K486" s="141">
        <f t="shared" si="16"/>
        <v>13784.639999999998</v>
      </c>
    </row>
    <row r="487" spans="1:11">
      <c r="A487" s="141">
        <v>487</v>
      </c>
      <c r="B487" s="142">
        <v>42580</v>
      </c>
      <c r="C487" s="149">
        <v>20.7</v>
      </c>
      <c r="D487" s="141">
        <v>5691.7999999999984</v>
      </c>
      <c r="E487" s="141"/>
      <c r="F487" s="141"/>
      <c r="G487" s="141"/>
      <c r="H487" s="141"/>
      <c r="J487" s="141">
        <f t="shared" si="15"/>
        <v>0.25</v>
      </c>
      <c r="K487" s="141">
        <f t="shared" si="16"/>
        <v>13790.639999999998</v>
      </c>
    </row>
    <row r="488" spans="1:11">
      <c r="A488" s="141">
        <v>488</v>
      </c>
      <c r="B488" s="142">
        <v>42581</v>
      </c>
      <c r="C488" s="149">
        <v>22.5</v>
      </c>
      <c r="D488" s="141">
        <v>5714.2999999999984</v>
      </c>
      <c r="E488" s="141"/>
      <c r="F488" s="141"/>
      <c r="G488" s="141"/>
      <c r="H488" s="141"/>
      <c r="J488" s="141">
        <f t="shared" si="15"/>
        <v>0.25</v>
      </c>
      <c r="K488" s="141">
        <f t="shared" si="16"/>
        <v>13796.639999999998</v>
      </c>
    </row>
    <row r="489" spans="1:11">
      <c r="A489" s="141">
        <v>489</v>
      </c>
      <c r="B489" s="142">
        <v>42582</v>
      </c>
      <c r="C489" s="149">
        <v>19.399999999999999</v>
      </c>
      <c r="D489" s="141">
        <v>5733.699999999998</v>
      </c>
      <c r="E489" s="141"/>
      <c r="F489" s="141"/>
      <c r="G489" s="141"/>
      <c r="H489" s="141"/>
      <c r="J489" s="141">
        <f t="shared" si="15"/>
        <v>0.25</v>
      </c>
      <c r="K489" s="141">
        <f t="shared" si="16"/>
        <v>13802.639999999998</v>
      </c>
    </row>
    <row r="490" spans="1:11">
      <c r="A490" s="141">
        <v>490</v>
      </c>
      <c r="B490" s="142">
        <v>42583</v>
      </c>
      <c r="C490" s="149">
        <v>18.399999999999999</v>
      </c>
      <c r="D490" s="141">
        <v>5752.0999999999976</v>
      </c>
      <c r="E490" s="141"/>
      <c r="F490" s="141"/>
      <c r="G490" s="141"/>
      <c r="H490" s="141"/>
      <c r="J490" s="141">
        <f t="shared" si="15"/>
        <v>0.25</v>
      </c>
      <c r="K490" s="141">
        <f t="shared" si="16"/>
        <v>13808.639999999998</v>
      </c>
    </row>
    <row r="491" spans="1:11">
      <c r="A491" s="141">
        <v>491</v>
      </c>
      <c r="B491" s="142">
        <v>42584</v>
      </c>
      <c r="C491" s="149">
        <v>16.5</v>
      </c>
      <c r="D491" s="141">
        <v>5768.5999999999976</v>
      </c>
      <c r="E491" s="141"/>
      <c r="F491" s="141"/>
      <c r="G491" s="141"/>
      <c r="H491" s="141"/>
      <c r="J491" s="141">
        <f t="shared" si="15"/>
        <v>0.32500000000000001</v>
      </c>
      <c r="K491" s="141">
        <f t="shared" si="16"/>
        <v>13816.439999999997</v>
      </c>
    </row>
    <row r="492" spans="1:11">
      <c r="A492" s="141">
        <v>492</v>
      </c>
      <c r="B492" s="142">
        <v>42585</v>
      </c>
      <c r="C492" s="149">
        <v>19.100000000000001</v>
      </c>
      <c r="D492" s="141">
        <v>5787.699999999998</v>
      </c>
      <c r="E492" s="141"/>
      <c r="F492" s="141"/>
      <c r="G492" s="141"/>
      <c r="H492" s="141"/>
      <c r="J492" s="141">
        <f t="shared" si="15"/>
        <v>0.25</v>
      </c>
      <c r="K492" s="141">
        <f t="shared" si="16"/>
        <v>13822.439999999997</v>
      </c>
    </row>
    <row r="493" spans="1:11">
      <c r="A493" s="141">
        <v>493</v>
      </c>
      <c r="B493" s="142">
        <v>42586</v>
      </c>
      <c r="C493" s="149">
        <v>23.6</v>
      </c>
      <c r="D493" s="141">
        <v>5811.2999999999984</v>
      </c>
      <c r="E493" s="141"/>
      <c r="F493" s="141"/>
      <c r="G493" s="141"/>
      <c r="H493" s="141"/>
      <c r="J493" s="141">
        <f t="shared" si="15"/>
        <v>0.25</v>
      </c>
      <c r="K493" s="141">
        <f t="shared" si="16"/>
        <v>13828.439999999997</v>
      </c>
    </row>
    <row r="494" spans="1:11">
      <c r="A494" s="141">
        <v>494</v>
      </c>
      <c r="B494" s="142">
        <v>42587</v>
      </c>
      <c r="C494" s="149">
        <v>16.8</v>
      </c>
      <c r="D494" s="141">
        <v>5828.0999999999985</v>
      </c>
      <c r="E494" s="141"/>
      <c r="F494" s="141"/>
      <c r="G494" s="141"/>
      <c r="H494" s="141"/>
      <c r="J494" s="141">
        <f t="shared" si="15"/>
        <v>0.27999999999999992</v>
      </c>
      <c r="K494" s="141">
        <f t="shared" si="16"/>
        <v>13835.159999999996</v>
      </c>
    </row>
    <row r="495" spans="1:11">
      <c r="A495" s="141">
        <v>495</v>
      </c>
      <c r="B495" s="142">
        <v>42588</v>
      </c>
      <c r="C495" s="149">
        <v>18.100000000000001</v>
      </c>
      <c r="D495" s="141">
        <v>5846.1999999999989</v>
      </c>
      <c r="E495" s="141"/>
      <c r="F495" s="141"/>
      <c r="G495" s="141"/>
      <c r="H495" s="141"/>
      <c r="J495" s="141">
        <f t="shared" si="15"/>
        <v>0.25</v>
      </c>
      <c r="K495" s="141">
        <f t="shared" si="16"/>
        <v>13841.159999999996</v>
      </c>
    </row>
    <row r="496" spans="1:11">
      <c r="A496" s="141">
        <v>496</v>
      </c>
      <c r="B496" s="142">
        <v>42589</v>
      </c>
      <c r="C496" s="149">
        <v>18.8</v>
      </c>
      <c r="D496" s="141">
        <v>5864.9999999999991</v>
      </c>
      <c r="E496" s="141"/>
      <c r="F496" s="141"/>
      <c r="G496" s="141"/>
      <c r="H496" s="141"/>
      <c r="J496" s="141">
        <f t="shared" si="15"/>
        <v>0.25</v>
      </c>
      <c r="K496" s="141">
        <f t="shared" si="16"/>
        <v>13847.159999999996</v>
      </c>
    </row>
    <row r="497" spans="1:11">
      <c r="A497" s="141">
        <v>497</v>
      </c>
      <c r="B497" s="142">
        <v>42590</v>
      </c>
      <c r="C497" s="149">
        <v>22.1</v>
      </c>
      <c r="D497" s="141">
        <v>5887.0999999999995</v>
      </c>
      <c r="E497" s="141"/>
      <c r="F497" s="141"/>
      <c r="G497" s="141"/>
      <c r="H497" s="141"/>
      <c r="J497" s="141">
        <f t="shared" si="15"/>
        <v>0.25</v>
      </c>
      <c r="K497" s="141">
        <f t="shared" si="16"/>
        <v>13853.159999999996</v>
      </c>
    </row>
    <row r="498" spans="1:11">
      <c r="A498" s="141">
        <v>498</v>
      </c>
      <c r="B498" s="142">
        <v>42591</v>
      </c>
      <c r="C498" s="149">
        <v>16.3</v>
      </c>
      <c r="D498" s="141">
        <v>5903.4</v>
      </c>
      <c r="E498" s="141"/>
      <c r="F498" s="141"/>
      <c r="G498" s="141"/>
      <c r="H498" s="141"/>
      <c r="J498" s="141">
        <f t="shared" si="15"/>
        <v>0.35499999999999987</v>
      </c>
      <c r="K498" s="141">
        <f t="shared" si="16"/>
        <v>13861.679999999997</v>
      </c>
    </row>
    <row r="499" spans="1:11">
      <c r="A499" s="141">
        <v>499</v>
      </c>
      <c r="B499" s="142">
        <v>42592</v>
      </c>
      <c r="C499" s="149">
        <v>13.2</v>
      </c>
      <c r="D499" s="141">
        <v>5916.5999999999995</v>
      </c>
      <c r="E499" s="141"/>
      <c r="F499" s="141"/>
      <c r="G499" s="141"/>
      <c r="H499" s="141"/>
      <c r="J499" s="141">
        <f t="shared" si="15"/>
        <v>0.82000000000000006</v>
      </c>
      <c r="K499" s="141">
        <f t="shared" si="16"/>
        <v>13881.359999999997</v>
      </c>
    </row>
    <row r="500" spans="1:11">
      <c r="A500" s="141">
        <v>500</v>
      </c>
      <c r="B500" s="142">
        <v>42593</v>
      </c>
      <c r="C500" s="149">
        <v>13</v>
      </c>
      <c r="D500" s="141">
        <v>5929.5999999999995</v>
      </c>
      <c r="E500" s="141"/>
      <c r="F500" s="141"/>
      <c r="G500" s="141"/>
      <c r="H500" s="141"/>
      <c r="J500" s="141">
        <f t="shared" si="15"/>
        <v>0.85</v>
      </c>
      <c r="K500" s="141">
        <f t="shared" si="16"/>
        <v>13901.759999999997</v>
      </c>
    </row>
    <row r="501" spans="1:11">
      <c r="A501" s="141">
        <v>501</v>
      </c>
      <c r="B501" s="142">
        <v>42594</v>
      </c>
      <c r="C501" s="149">
        <v>14.4</v>
      </c>
      <c r="D501" s="141">
        <v>5943.9999999999991</v>
      </c>
      <c r="E501" s="141"/>
      <c r="F501" s="141"/>
      <c r="G501" s="141"/>
      <c r="H501" s="141"/>
      <c r="J501" s="141">
        <f t="shared" si="15"/>
        <v>0.6399999999999999</v>
      </c>
      <c r="K501" s="141">
        <f t="shared" si="16"/>
        <v>13917.119999999997</v>
      </c>
    </row>
    <row r="502" spans="1:11">
      <c r="A502" s="141">
        <v>502</v>
      </c>
      <c r="B502" s="142">
        <v>42595</v>
      </c>
      <c r="C502" s="149">
        <v>19.7</v>
      </c>
      <c r="D502" s="141">
        <v>5963.6999999999989</v>
      </c>
      <c r="E502" s="141"/>
      <c r="F502" s="141"/>
      <c r="G502" s="141"/>
      <c r="H502" s="141"/>
      <c r="J502" s="141">
        <f t="shared" si="15"/>
        <v>0.25</v>
      </c>
      <c r="K502" s="141">
        <f t="shared" si="16"/>
        <v>13923.119999999997</v>
      </c>
    </row>
    <row r="503" spans="1:11">
      <c r="A503" s="141">
        <v>503</v>
      </c>
      <c r="B503" s="142">
        <v>42596</v>
      </c>
      <c r="C503" s="149">
        <v>19.8</v>
      </c>
      <c r="D503" s="141">
        <v>5983.4999999999991</v>
      </c>
      <c r="E503" s="141"/>
      <c r="F503" s="141"/>
      <c r="G503" s="141"/>
      <c r="H503" s="141"/>
      <c r="J503" s="141">
        <f t="shared" si="15"/>
        <v>0.25</v>
      </c>
      <c r="K503" s="141">
        <f t="shared" si="16"/>
        <v>13929.119999999997</v>
      </c>
    </row>
    <row r="504" spans="1:11">
      <c r="A504" s="141">
        <v>504</v>
      </c>
      <c r="B504" s="142">
        <v>42597</v>
      </c>
      <c r="C504" s="149">
        <v>19.100000000000001</v>
      </c>
      <c r="D504" s="141">
        <v>6002.5999999999995</v>
      </c>
      <c r="E504" s="141"/>
      <c r="F504" s="141"/>
      <c r="G504" s="141"/>
      <c r="H504" s="141"/>
      <c r="J504" s="141">
        <f t="shared" si="15"/>
        <v>0.25</v>
      </c>
      <c r="K504" s="141">
        <f t="shared" si="16"/>
        <v>13935.119999999997</v>
      </c>
    </row>
    <row r="505" spans="1:11">
      <c r="A505" s="141">
        <v>505</v>
      </c>
      <c r="B505" s="142">
        <v>42598</v>
      </c>
      <c r="C505" s="149">
        <v>17</v>
      </c>
      <c r="D505" s="141">
        <v>6019.5999999999995</v>
      </c>
      <c r="E505" s="141"/>
      <c r="F505" s="141"/>
      <c r="G505" s="141"/>
      <c r="H505" s="141"/>
      <c r="J505" s="141">
        <f t="shared" si="15"/>
        <v>0.25</v>
      </c>
      <c r="K505" s="141">
        <f t="shared" si="16"/>
        <v>13941.119999999997</v>
      </c>
    </row>
    <row r="506" spans="1:11">
      <c r="A506" s="141">
        <v>506</v>
      </c>
      <c r="B506" s="142">
        <v>42599</v>
      </c>
      <c r="C506" s="149">
        <v>15.5</v>
      </c>
      <c r="D506" s="141">
        <v>6035.0999999999995</v>
      </c>
      <c r="E506" s="141"/>
      <c r="F506" s="141"/>
      <c r="G506" s="141"/>
      <c r="H506" s="141"/>
      <c r="J506" s="141">
        <f t="shared" si="15"/>
        <v>0.47499999999999998</v>
      </c>
      <c r="K506" s="141">
        <f t="shared" si="16"/>
        <v>13952.519999999997</v>
      </c>
    </row>
    <row r="507" spans="1:11">
      <c r="A507" s="141">
        <v>507</v>
      </c>
      <c r="B507" s="142">
        <v>42600</v>
      </c>
      <c r="C507" s="149">
        <v>17</v>
      </c>
      <c r="D507" s="141">
        <v>6052.0999999999995</v>
      </c>
      <c r="E507" s="141"/>
      <c r="F507" s="141"/>
      <c r="G507" s="141"/>
      <c r="H507" s="141"/>
      <c r="J507" s="141">
        <f t="shared" si="15"/>
        <v>0.25</v>
      </c>
      <c r="K507" s="141">
        <f t="shared" si="16"/>
        <v>13958.519999999997</v>
      </c>
    </row>
    <row r="508" spans="1:11">
      <c r="A508" s="141">
        <v>508</v>
      </c>
      <c r="B508" s="142">
        <v>42601</v>
      </c>
      <c r="C508" s="149">
        <v>19.100000000000001</v>
      </c>
      <c r="D508" s="141">
        <v>6071.2</v>
      </c>
      <c r="E508" s="141"/>
      <c r="F508" s="141"/>
      <c r="G508" s="141"/>
      <c r="H508" s="141"/>
      <c r="J508" s="141">
        <f t="shared" si="15"/>
        <v>0.25</v>
      </c>
      <c r="K508" s="141">
        <f t="shared" si="16"/>
        <v>13964.519999999997</v>
      </c>
    </row>
    <row r="509" spans="1:11">
      <c r="A509" s="141">
        <v>509</v>
      </c>
      <c r="B509" s="142">
        <v>42602</v>
      </c>
      <c r="C509" s="149">
        <v>21.5</v>
      </c>
      <c r="D509" s="141">
        <v>6092.7</v>
      </c>
      <c r="E509" s="141"/>
      <c r="F509" s="141"/>
      <c r="G509" s="141"/>
      <c r="H509" s="141"/>
      <c r="J509" s="141">
        <f t="shared" si="15"/>
        <v>0.25</v>
      </c>
      <c r="K509" s="141">
        <f t="shared" si="16"/>
        <v>13970.519999999997</v>
      </c>
    </row>
    <row r="510" spans="1:11">
      <c r="A510" s="141">
        <v>510</v>
      </c>
      <c r="B510" s="142">
        <v>42603</v>
      </c>
      <c r="C510" s="149">
        <v>18</v>
      </c>
      <c r="D510" s="141">
        <v>6110.7</v>
      </c>
      <c r="E510" s="141"/>
      <c r="F510" s="141"/>
      <c r="G510" s="141"/>
      <c r="H510" s="141"/>
      <c r="J510" s="141">
        <f t="shared" si="15"/>
        <v>0.25</v>
      </c>
      <c r="K510" s="141">
        <f t="shared" si="16"/>
        <v>13976.519999999997</v>
      </c>
    </row>
    <row r="511" spans="1:11">
      <c r="A511" s="141">
        <v>511</v>
      </c>
      <c r="B511" s="142">
        <v>42604</v>
      </c>
      <c r="C511" s="149">
        <v>17</v>
      </c>
      <c r="D511" s="141">
        <v>6127.7</v>
      </c>
      <c r="E511" s="141"/>
      <c r="F511" s="141"/>
      <c r="G511" s="141"/>
      <c r="H511" s="141"/>
      <c r="J511" s="141">
        <f t="shared" si="15"/>
        <v>0.25</v>
      </c>
      <c r="K511" s="141">
        <f t="shared" si="16"/>
        <v>13982.519999999997</v>
      </c>
    </row>
    <row r="512" spans="1:11">
      <c r="A512" s="141">
        <v>512</v>
      </c>
      <c r="B512" s="142">
        <v>42605</v>
      </c>
      <c r="C512" s="149">
        <v>19.2</v>
      </c>
      <c r="D512" s="141">
        <v>6146.9</v>
      </c>
      <c r="E512" s="141"/>
      <c r="F512" s="141"/>
      <c r="G512" s="141"/>
      <c r="H512" s="141"/>
      <c r="J512" s="141">
        <f t="shared" si="15"/>
        <v>0.25</v>
      </c>
      <c r="K512" s="141">
        <f t="shared" si="16"/>
        <v>13988.519999999997</v>
      </c>
    </row>
    <row r="513" spans="1:11">
      <c r="A513" s="141">
        <v>513</v>
      </c>
      <c r="B513" s="142">
        <v>42606</v>
      </c>
      <c r="C513" s="149">
        <v>20.399999999999999</v>
      </c>
      <c r="D513" s="141">
        <v>6167.2999999999993</v>
      </c>
      <c r="E513" s="141"/>
      <c r="F513" s="141"/>
      <c r="G513" s="141"/>
      <c r="H513" s="141"/>
      <c r="J513" s="141">
        <f t="shared" si="15"/>
        <v>0.25</v>
      </c>
      <c r="K513" s="141">
        <f t="shared" si="16"/>
        <v>13994.519999999997</v>
      </c>
    </row>
    <row r="514" spans="1:11">
      <c r="A514" s="141">
        <v>514</v>
      </c>
      <c r="B514" s="142">
        <v>42607</v>
      </c>
      <c r="C514" s="149">
        <v>20.5</v>
      </c>
      <c r="D514" s="141">
        <v>6187.7999999999993</v>
      </c>
      <c r="E514" s="141"/>
      <c r="F514" s="141"/>
      <c r="G514" s="141"/>
      <c r="H514" s="141"/>
      <c r="J514" s="141">
        <f t="shared" si="15"/>
        <v>0.25</v>
      </c>
      <c r="K514" s="141">
        <f t="shared" si="16"/>
        <v>14000.519999999997</v>
      </c>
    </row>
    <row r="515" spans="1:11">
      <c r="A515" s="141">
        <v>515</v>
      </c>
      <c r="B515" s="142">
        <v>42608</v>
      </c>
      <c r="C515" s="149">
        <v>21.2</v>
      </c>
      <c r="D515" s="141">
        <v>6208.9999999999991</v>
      </c>
      <c r="E515" s="141"/>
      <c r="F515" s="141"/>
      <c r="G515" s="141"/>
      <c r="H515" s="141"/>
      <c r="J515" s="141">
        <f t="shared" si="15"/>
        <v>0.25</v>
      </c>
      <c r="K515" s="141">
        <f t="shared" si="16"/>
        <v>14006.519999999997</v>
      </c>
    </row>
    <row r="516" spans="1:11">
      <c r="A516" s="141">
        <v>516</v>
      </c>
      <c r="B516" s="142">
        <v>42609</v>
      </c>
      <c r="C516" s="149">
        <v>21.8</v>
      </c>
      <c r="D516" s="141">
        <v>6230.7999999999993</v>
      </c>
      <c r="E516" s="141"/>
      <c r="F516" s="141"/>
      <c r="G516" s="141"/>
      <c r="H516" s="141"/>
      <c r="J516" s="141">
        <f t="shared" si="15"/>
        <v>0.25</v>
      </c>
      <c r="K516" s="141">
        <f t="shared" si="16"/>
        <v>14012.519999999997</v>
      </c>
    </row>
    <row r="517" spans="1:11">
      <c r="A517" s="141">
        <v>517</v>
      </c>
      <c r="B517" s="142">
        <v>42610</v>
      </c>
      <c r="C517" s="149">
        <v>22.9</v>
      </c>
      <c r="D517" s="141">
        <v>6253.6999999999989</v>
      </c>
      <c r="E517" s="141"/>
      <c r="F517" s="141"/>
      <c r="G517" s="141"/>
      <c r="H517" s="141"/>
      <c r="J517" s="141">
        <f t="shared" si="15"/>
        <v>0.25</v>
      </c>
      <c r="K517" s="141">
        <f t="shared" si="16"/>
        <v>14018.519999999997</v>
      </c>
    </row>
    <row r="518" spans="1:11">
      <c r="A518" s="141">
        <v>518</v>
      </c>
      <c r="B518" s="142">
        <v>42611</v>
      </c>
      <c r="C518" s="149">
        <v>20.5</v>
      </c>
      <c r="D518" s="141">
        <v>6274.1999999999989</v>
      </c>
      <c r="E518" s="141"/>
      <c r="F518" s="141"/>
      <c r="G518" s="141"/>
      <c r="H518" s="141"/>
      <c r="J518" s="141">
        <f t="shared" si="15"/>
        <v>0.25</v>
      </c>
      <c r="K518" s="141">
        <f t="shared" si="16"/>
        <v>14024.519999999997</v>
      </c>
    </row>
    <row r="519" spans="1:11">
      <c r="A519" s="141">
        <v>519</v>
      </c>
      <c r="B519" s="142">
        <v>42612</v>
      </c>
      <c r="C519" s="149">
        <v>17.399999999999999</v>
      </c>
      <c r="D519" s="141">
        <v>6291.5999999999985</v>
      </c>
      <c r="E519" s="141"/>
      <c r="F519" s="141"/>
      <c r="G519" s="141"/>
      <c r="H519" s="141"/>
      <c r="J519" s="141">
        <f t="shared" ref="J519:J582" si="17">J$1+(IF(J$3-$C519&gt;0,J$3-$C519,0)*J$2/30)</f>
        <v>0.25</v>
      </c>
      <c r="K519" s="141">
        <f t="shared" ref="K519:K582" si="18">K518+J519*24</f>
        <v>14030.519999999997</v>
      </c>
    </row>
    <row r="520" spans="1:11">
      <c r="A520" s="141">
        <v>520</v>
      </c>
      <c r="B520" s="142">
        <v>42613</v>
      </c>
      <c r="C520" s="149">
        <v>16.7</v>
      </c>
      <c r="D520" s="141">
        <v>6308.2999999999984</v>
      </c>
      <c r="E520" s="141"/>
      <c r="F520" s="141"/>
      <c r="G520" s="141"/>
      <c r="H520" s="141"/>
      <c r="J520" s="141">
        <f t="shared" si="17"/>
        <v>0.2950000000000001</v>
      </c>
      <c r="K520" s="141">
        <f t="shared" si="18"/>
        <v>14037.599999999997</v>
      </c>
    </row>
    <row r="521" spans="1:11">
      <c r="A521" s="141">
        <v>521</v>
      </c>
      <c r="B521" s="142">
        <v>42614</v>
      </c>
      <c r="C521" s="149">
        <v>19</v>
      </c>
      <c r="D521" s="141">
        <v>6327.2999999999984</v>
      </c>
      <c r="E521" s="141"/>
      <c r="F521" s="141"/>
      <c r="G521" s="141"/>
      <c r="H521" s="141"/>
      <c r="J521" s="141">
        <f t="shared" si="17"/>
        <v>0.25</v>
      </c>
      <c r="K521" s="141">
        <f t="shared" si="18"/>
        <v>14043.599999999997</v>
      </c>
    </row>
    <row r="522" spans="1:11">
      <c r="A522" s="141">
        <v>522</v>
      </c>
      <c r="B522" s="142">
        <v>42615</v>
      </c>
      <c r="C522" s="149">
        <v>21.2</v>
      </c>
      <c r="D522" s="141">
        <v>6348.4999999999982</v>
      </c>
      <c r="E522" s="141"/>
      <c r="F522" s="141"/>
      <c r="G522" s="141"/>
      <c r="H522" s="141"/>
      <c r="J522" s="141">
        <f t="shared" si="17"/>
        <v>0.25</v>
      </c>
      <c r="K522" s="141">
        <f t="shared" si="18"/>
        <v>14049.599999999997</v>
      </c>
    </row>
    <row r="523" spans="1:11">
      <c r="A523" s="141">
        <v>523</v>
      </c>
      <c r="B523" s="142">
        <v>42616</v>
      </c>
      <c r="C523" s="149">
        <v>20</v>
      </c>
      <c r="D523" s="141">
        <v>6368.4999999999982</v>
      </c>
      <c r="E523" s="141"/>
      <c r="F523" s="141"/>
      <c r="G523" s="141"/>
      <c r="H523" s="141"/>
      <c r="J523" s="141">
        <f t="shared" si="17"/>
        <v>0.25</v>
      </c>
      <c r="K523" s="141">
        <f t="shared" si="18"/>
        <v>14055.599999999997</v>
      </c>
    </row>
    <row r="524" spans="1:11">
      <c r="A524" s="141">
        <v>524</v>
      </c>
      <c r="B524" s="142">
        <v>42617</v>
      </c>
      <c r="C524" s="149">
        <v>20</v>
      </c>
      <c r="D524" s="141">
        <v>6388.4999999999982</v>
      </c>
      <c r="E524" s="141"/>
      <c r="F524" s="141"/>
      <c r="G524" s="141"/>
      <c r="H524" s="141"/>
      <c r="J524" s="141">
        <f t="shared" si="17"/>
        <v>0.25</v>
      </c>
      <c r="K524" s="141">
        <f t="shared" si="18"/>
        <v>14061.599999999997</v>
      </c>
    </row>
    <row r="525" spans="1:11">
      <c r="A525" s="141">
        <v>525</v>
      </c>
      <c r="B525" s="142">
        <v>42618</v>
      </c>
      <c r="C525" s="149">
        <v>16.2</v>
      </c>
      <c r="D525" s="141">
        <v>6404.699999999998</v>
      </c>
      <c r="E525" s="141"/>
      <c r="F525" s="141"/>
      <c r="G525" s="141"/>
      <c r="H525" s="141"/>
      <c r="J525" s="141">
        <f t="shared" si="17"/>
        <v>0.37000000000000011</v>
      </c>
      <c r="K525" s="141">
        <f t="shared" si="18"/>
        <v>14070.479999999996</v>
      </c>
    </row>
    <row r="526" spans="1:11">
      <c r="A526" s="141">
        <v>526</v>
      </c>
      <c r="B526" s="142">
        <v>42619</v>
      </c>
      <c r="C526" s="149">
        <v>16.600000000000001</v>
      </c>
      <c r="D526" s="141">
        <v>6421.2999999999984</v>
      </c>
      <c r="E526" s="141"/>
      <c r="F526" s="141"/>
      <c r="G526" s="141"/>
      <c r="H526" s="141"/>
      <c r="J526" s="141">
        <f t="shared" si="17"/>
        <v>0.30999999999999978</v>
      </c>
      <c r="K526" s="141">
        <f t="shared" si="18"/>
        <v>14077.919999999996</v>
      </c>
    </row>
    <row r="527" spans="1:11">
      <c r="A527" s="141">
        <v>527</v>
      </c>
      <c r="B527" s="142">
        <v>42620</v>
      </c>
      <c r="C527" s="149">
        <v>19.600000000000001</v>
      </c>
      <c r="D527" s="141">
        <v>6440.8999999999987</v>
      </c>
      <c r="E527" s="141"/>
      <c r="F527" s="141"/>
      <c r="G527" s="141"/>
      <c r="H527" s="141"/>
      <c r="J527" s="141">
        <f t="shared" si="17"/>
        <v>0.25</v>
      </c>
      <c r="K527" s="141">
        <f t="shared" si="18"/>
        <v>14083.919999999996</v>
      </c>
    </row>
    <row r="528" spans="1:11">
      <c r="A528" s="141">
        <v>528</v>
      </c>
      <c r="B528" s="142">
        <v>42621</v>
      </c>
      <c r="C528" s="149">
        <v>21.2</v>
      </c>
      <c r="D528" s="141">
        <v>6462.0999999999985</v>
      </c>
      <c r="E528" s="141"/>
      <c r="F528" s="141"/>
      <c r="G528" s="141"/>
      <c r="H528" s="141"/>
      <c r="J528" s="141">
        <f t="shared" si="17"/>
        <v>0.25</v>
      </c>
      <c r="K528" s="141">
        <f t="shared" si="18"/>
        <v>14089.919999999996</v>
      </c>
    </row>
    <row r="529" spans="1:11">
      <c r="A529" s="141">
        <v>529</v>
      </c>
      <c r="B529" s="142">
        <v>42622</v>
      </c>
      <c r="C529" s="149">
        <v>22.3</v>
      </c>
      <c r="D529" s="141">
        <v>6484.3999999999987</v>
      </c>
      <c r="E529" s="141"/>
      <c r="F529" s="141"/>
      <c r="G529" s="141"/>
      <c r="H529" s="141"/>
      <c r="J529" s="141">
        <f t="shared" si="17"/>
        <v>0.25</v>
      </c>
      <c r="K529" s="141">
        <f t="shared" si="18"/>
        <v>14095.919999999996</v>
      </c>
    </row>
    <row r="530" spans="1:11">
      <c r="A530" s="141">
        <v>530</v>
      </c>
      <c r="B530" s="142">
        <v>42623</v>
      </c>
      <c r="C530" s="149">
        <v>22.9</v>
      </c>
      <c r="D530" s="141">
        <v>6507.2999999999984</v>
      </c>
      <c r="E530" s="141"/>
      <c r="F530" s="141"/>
      <c r="G530" s="141"/>
      <c r="H530" s="141"/>
      <c r="J530" s="141">
        <f t="shared" si="17"/>
        <v>0.25</v>
      </c>
      <c r="K530" s="141">
        <f t="shared" si="18"/>
        <v>14101.919999999996</v>
      </c>
    </row>
    <row r="531" spans="1:11">
      <c r="A531" s="141">
        <v>531</v>
      </c>
      <c r="B531" s="142">
        <v>42624</v>
      </c>
      <c r="C531" s="149">
        <v>22.9</v>
      </c>
      <c r="D531" s="141">
        <v>6530.199999999998</v>
      </c>
      <c r="E531" s="141"/>
      <c r="F531" s="141"/>
      <c r="G531" s="141"/>
      <c r="H531" s="141"/>
      <c r="J531" s="141">
        <f t="shared" si="17"/>
        <v>0.25</v>
      </c>
      <c r="K531" s="141">
        <f t="shared" si="18"/>
        <v>14107.919999999996</v>
      </c>
    </row>
    <row r="532" spans="1:11">
      <c r="A532" s="141">
        <v>532</v>
      </c>
      <c r="B532" s="142">
        <v>42625</v>
      </c>
      <c r="C532" s="149">
        <v>22.4</v>
      </c>
      <c r="D532" s="141">
        <v>6552.5999999999976</v>
      </c>
      <c r="E532" s="141"/>
      <c r="F532" s="141"/>
      <c r="G532" s="141"/>
      <c r="H532" s="141"/>
      <c r="J532" s="141">
        <f t="shared" si="17"/>
        <v>0.25</v>
      </c>
      <c r="K532" s="141">
        <f t="shared" si="18"/>
        <v>14113.919999999996</v>
      </c>
    </row>
    <row r="533" spans="1:11">
      <c r="A533" s="141">
        <v>533</v>
      </c>
      <c r="B533" s="142">
        <v>42626</v>
      </c>
      <c r="C533" s="149">
        <v>22.3</v>
      </c>
      <c r="D533" s="141">
        <v>6574.8999999999978</v>
      </c>
      <c r="E533" s="141"/>
      <c r="F533" s="141"/>
      <c r="G533" s="141"/>
      <c r="H533" s="141"/>
      <c r="J533" s="141">
        <f t="shared" si="17"/>
        <v>0.25</v>
      </c>
      <c r="K533" s="141">
        <f t="shared" si="18"/>
        <v>14119.919999999996</v>
      </c>
    </row>
    <row r="534" spans="1:11">
      <c r="A534" s="141">
        <v>534</v>
      </c>
      <c r="B534" s="142">
        <v>42627</v>
      </c>
      <c r="C534" s="149">
        <v>21.6</v>
      </c>
      <c r="D534" s="141">
        <v>6596.4999999999982</v>
      </c>
      <c r="E534" s="141"/>
      <c r="F534" s="141"/>
      <c r="G534" s="141"/>
      <c r="H534" s="141"/>
      <c r="J534" s="141">
        <f t="shared" si="17"/>
        <v>0.25</v>
      </c>
      <c r="K534" s="141">
        <f t="shared" si="18"/>
        <v>14125.919999999996</v>
      </c>
    </row>
    <row r="535" spans="1:11">
      <c r="A535" s="141">
        <v>535</v>
      </c>
      <c r="B535" s="142">
        <v>42628</v>
      </c>
      <c r="C535" s="149">
        <v>20.399999999999999</v>
      </c>
      <c r="D535" s="141">
        <v>6616.8999999999978</v>
      </c>
      <c r="E535" s="141"/>
      <c r="F535" s="141"/>
      <c r="G535" s="141"/>
      <c r="H535" s="141"/>
      <c r="J535" s="141">
        <f t="shared" si="17"/>
        <v>0.25</v>
      </c>
      <c r="K535" s="141">
        <f t="shared" si="18"/>
        <v>14131.919999999996</v>
      </c>
    </row>
    <row r="536" spans="1:11">
      <c r="A536" s="141">
        <v>536</v>
      </c>
      <c r="B536" s="142">
        <v>42629</v>
      </c>
      <c r="C536" s="149">
        <v>20</v>
      </c>
      <c r="D536" s="141">
        <v>6636.8999999999978</v>
      </c>
      <c r="E536" s="141"/>
      <c r="F536" s="141"/>
      <c r="G536" s="141"/>
      <c r="H536" s="141"/>
      <c r="J536" s="141">
        <f t="shared" si="17"/>
        <v>0.25</v>
      </c>
      <c r="K536" s="141">
        <f t="shared" si="18"/>
        <v>14137.919999999996</v>
      </c>
    </row>
    <row r="537" spans="1:11">
      <c r="A537" s="141">
        <v>537</v>
      </c>
      <c r="B537" s="142">
        <v>42630</v>
      </c>
      <c r="C537" s="149">
        <v>17.3</v>
      </c>
      <c r="D537" s="141">
        <v>6654.199999999998</v>
      </c>
      <c r="E537" s="141"/>
      <c r="F537" s="141"/>
      <c r="G537" s="141"/>
      <c r="H537" s="141"/>
      <c r="J537" s="141">
        <f t="shared" si="17"/>
        <v>0.25</v>
      </c>
      <c r="K537" s="141">
        <f t="shared" si="18"/>
        <v>14143.919999999996</v>
      </c>
    </row>
    <row r="538" spans="1:11">
      <c r="A538" s="141">
        <v>538</v>
      </c>
      <c r="B538" s="142">
        <v>42631</v>
      </c>
      <c r="C538" s="149">
        <v>15</v>
      </c>
      <c r="D538" s="141">
        <v>6669.199999999998</v>
      </c>
      <c r="E538" s="141"/>
      <c r="F538" s="141"/>
      <c r="G538" s="141"/>
      <c r="H538" s="141"/>
      <c r="J538" s="141">
        <f t="shared" si="17"/>
        <v>0.55000000000000004</v>
      </c>
      <c r="K538" s="141">
        <f t="shared" si="18"/>
        <v>14157.119999999997</v>
      </c>
    </row>
    <row r="539" spans="1:11">
      <c r="A539" s="141">
        <v>539</v>
      </c>
      <c r="B539" s="142">
        <v>42632</v>
      </c>
      <c r="C539" s="149">
        <v>12.399999999999999</v>
      </c>
      <c r="D539" s="141">
        <v>6681.5999999999976</v>
      </c>
      <c r="E539" s="141"/>
      <c r="F539" s="141"/>
      <c r="G539" s="141"/>
      <c r="H539" s="141"/>
      <c r="J539" s="141">
        <f t="shared" si="17"/>
        <v>0.94000000000000017</v>
      </c>
      <c r="K539" s="141">
        <f t="shared" si="18"/>
        <v>14179.679999999997</v>
      </c>
    </row>
    <row r="540" spans="1:11">
      <c r="A540" s="141">
        <v>540</v>
      </c>
      <c r="B540" s="142">
        <v>42633</v>
      </c>
      <c r="C540" s="149">
        <v>12.2</v>
      </c>
      <c r="D540" s="141">
        <v>6693.7999999999975</v>
      </c>
      <c r="E540" s="141"/>
      <c r="F540" s="141"/>
      <c r="G540" s="141"/>
      <c r="H540" s="141"/>
      <c r="J540" s="141">
        <f t="shared" si="17"/>
        <v>0.97000000000000008</v>
      </c>
      <c r="K540" s="141">
        <f t="shared" si="18"/>
        <v>14202.959999999997</v>
      </c>
    </row>
    <row r="541" spans="1:11">
      <c r="A541" s="141">
        <v>541</v>
      </c>
      <c r="B541" s="142">
        <v>42634</v>
      </c>
      <c r="C541" s="149">
        <v>12.5</v>
      </c>
      <c r="D541" s="141">
        <v>6706.2999999999975</v>
      </c>
      <c r="E541" s="141"/>
      <c r="F541" s="141"/>
      <c r="G541" s="141"/>
      <c r="H541" s="141"/>
      <c r="J541" s="141">
        <f t="shared" si="17"/>
        <v>0.92500000000000004</v>
      </c>
      <c r="K541" s="141">
        <f t="shared" si="18"/>
        <v>14225.159999999998</v>
      </c>
    </row>
    <row r="542" spans="1:11">
      <c r="A542" s="141">
        <v>542</v>
      </c>
      <c r="B542" s="142">
        <v>42635</v>
      </c>
      <c r="C542" s="149">
        <v>11.8</v>
      </c>
      <c r="D542" s="141">
        <v>6718.0999999999976</v>
      </c>
      <c r="E542" s="141"/>
      <c r="F542" s="141"/>
      <c r="G542" s="141"/>
      <c r="H542" s="141"/>
      <c r="J542" s="141">
        <f t="shared" si="17"/>
        <v>1.0299999999999998</v>
      </c>
      <c r="K542" s="141">
        <f t="shared" si="18"/>
        <v>14249.879999999997</v>
      </c>
    </row>
    <row r="543" spans="1:11">
      <c r="A543" s="141">
        <v>543</v>
      </c>
      <c r="B543" s="142">
        <v>42636</v>
      </c>
      <c r="C543" s="149">
        <v>13</v>
      </c>
      <c r="D543" s="141">
        <v>6731.0999999999976</v>
      </c>
      <c r="E543" s="141"/>
      <c r="F543" s="141"/>
      <c r="G543" s="141"/>
      <c r="H543" s="141"/>
      <c r="J543" s="141">
        <f t="shared" si="17"/>
        <v>0.85</v>
      </c>
      <c r="K543" s="141">
        <f t="shared" si="18"/>
        <v>14270.279999999997</v>
      </c>
    </row>
    <row r="544" spans="1:11">
      <c r="A544" s="141">
        <v>544</v>
      </c>
      <c r="B544" s="142">
        <v>42637</v>
      </c>
      <c r="C544" s="149">
        <v>13.7</v>
      </c>
      <c r="D544" s="141">
        <v>6744.7999999999975</v>
      </c>
      <c r="E544" s="141"/>
      <c r="F544" s="141"/>
      <c r="G544" s="141"/>
      <c r="H544" s="141"/>
      <c r="J544" s="141">
        <f t="shared" si="17"/>
        <v>0.74500000000000011</v>
      </c>
      <c r="K544" s="141">
        <f t="shared" si="18"/>
        <v>14288.159999999996</v>
      </c>
    </row>
    <row r="545" spans="1:11">
      <c r="A545" s="141">
        <v>545</v>
      </c>
      <c r="B545" s="142">
        <v>42638</v>
      </c>
      <c r="C545" s="149">
        <v>13.5</v>
      </c>
      <c r="D545" s="141">
        <v>6758.2999999999975</v>
      </c>
      <c r="E545" s="141"/>
      <c r="F545" s="141"/>
      <c r="G545" s="141"/>
      <c r="H545" s="141"/>
      <c r="J545" s="141">
        <f t="shared" si="17"/>
        <v>0.77500000000000002</v>
      </c>
      <c r="K545" s="141">
        <f t="shared" si="18"/>
        <v>14306.759999999997</v>
      </c>
    </row>
    <row r="546" spans="1:11">
      <c r="A546" s="141">
        <v>546</v>
      </c>
      <c r="B546" s="142">
        <v>42639</v>
      </c>
      <c r="C546" s="149">
        <v>12.899999999999999</v>
      </c>
      <c r="D546" s="141">
        <v>6771.1999999999971</v>
      </c>
      <c r="E546" s="141"/>
      <c r="F546" s="141"/>
      <c r="G546" s="141"/>
      <c r="H546" s="141"/>
      <c r="J546" s="141">
        <f t="shared" si="17"/>
        <v>0.86500000000000021</v>
      </c>
      <c r="K546" s="141">
        <f t="shared" si="18"/>
        <v>14327.519999999997</v>
      </c>
    </row>
    <row r="547" spans="1:11">
      <c r="A547" s="141">
        <v>547</v>
      </c>
      <c r="B547" s="142">
        <v>42640</v>
      </c>
      <c r="C547" s="149">
        <v>13.600000000000001</v>
      </c>
      <c r="D547" s="141">
        <v>6784.7999999999975</v>
      </c>
      <c r="E547" s="141"/>
      <c r="F547" s="141"/>
      <c r="G547" s="141"/>
      <c r="H547" s="141"/>
      <c r="J547" s="141">
        <f t="shared" si="17"/>
        <v>0.75999999999999979</v>
      </c>
      <c r="K547" s="141">
        <f t="shared" si="18"/>
        <v>14345.759999999997</v>
      </c>
    </row>
    <row r="548" spans="1:11">
      <c r="A548" s="141">
        <v>548</v>
      </c>
      <c r="B548" s="142">
        <v>42641</v>
      </c>
      <c r="C548" s="149">
        <v>15.2</v>
      </c>
      <c r="D548" s="141">
        <v>6799.9999999999973</v>
      </c>
      <c r="E548" s="141"/>
      <c r="F548" s="141"/>
      <c r="G548" s="141"/>
      <c r="H548" s="141"/>
      <c r="J548" s="141">
        <f t="shared" si="17"/>
        <v>0.52000000000000013</v>
      </c>
      <c r="K548" s="141">
        <f t="shared" si="18"/>
        <v>14358.239999999996</v>
      </c>
    </row>
    <row r="549" spans="1:11">
      <c r="A549" s="141">
        <v>549</v>
      </c>
      <c r="B549" s="142">
        <v>42642</v>
      </c>
      <c r="C549" s="149">
        <v>18</v>
      </c>
      <c r="D549" s="141">
        <v>6817.9999999999973</v>
      </c>
      <c r="E549" s="141"/>
      <c r="F549" s="141"/>
      <c r="G549" s="141"/>
      <c r="H549" s="141"/>
      <c r="J549" s="141">
        <f t="shared" si="17"/>
        <v>0.25</v>
      </c>
      <c r="K549" s="141">
        <f t="shared" si="18"/>
        <v>14364.239999999996</v>
      </c>
    </row>
    <row r="550" spans="1:11">
      <c r="A550" s="141">
        <v>550</v>
      </c>
      <c r="B550" s="142">
        <v>42643</v>
      </c>
      <c r="C550" s="149">
        <v>18.899999999999999</v>
      </c>
      <c r="D550" s="141">
        <v>6836.8999999999969</v>
      </c>
      <c r="E550" s="141"/>
      <c r="F550" s="141"/>
      <c r="G550" s="141"/>
      <c r="H550" s="141"/>
      <c r="J550" s="141">
        <f t="shared" si="17"/>
        <v>0.25</v>
      </c>
      <c r="K550" s="141">
        <f t="shared" si="18"/>
        <v>14370.239999999996</v>
      </c>
    </row>
    <row r="551" spans="1:11">
      <c r="A551" s="141">
        <v>551</v>
      </c>
      <c r="B551" s="142">
        <v>42644</v>
      </c>
      <c r="C551" s="149">
        <v>17.2</v>
      </c>
      <c r="D551" s="141">
        <v>6854.0999999999967</v>
      </c>
      <c r="E551" s="141"/>
      <c r="F551" s="141"/>
      <c r="G551" s="141"/>
      <c r="H551" s="141"/>
      <c r="J551" s="141">
        <f t="shared" si="17"/>
        <v>0.25</v>
      </c>
      <c r="K551" s="141">
        <f t="shared" si="18"/>
        <v>14376.239999999996</v>
      </c>
    </row>
    <row r="552" spans="1:11">
      <c r="A552" s="141">
        <v>552</v>
      </c>
      <c r="B552" s="142">
        <v>42645</v>
      </c>
      <c r="C552" s="149">
        <v>13.899999999999999</v>
      </c>
      <c r="D552" s="141">
        <v>6867.9999999999964</v>
      </c>
      <c r="E552" s="141"/>
      <c r="F552" s="141"/>
      <c r="G552" s="141"/>
      <c r="H552" s="141"/>
      <c r="J552" s="141">
        <f t="shared" si="17"/>
        <v>0.71500000000000019</v>
      </c>
      <c r="K552" s="141">
        <f t="shared" si="18"/>
        <v>14393.399999999996</v>
      </c>
    </row>
    <row r="553" spans="1:11">
      <c r="A553" s="141">
        <v>553</v>
      </c>
      <c r="B553" s="142">
        <v>42646</v>
      </c>
      <c r="C553" s="149">
        <v>11</v>
      </c>
      <c r="D553" s="141">
        <v>6878.9999999999964</v>
      </c>
      <c r="E553" s="141"/>
      <c r="F553" s="141"/>
      <c r="G553" s="141"/>
      <c r="H553" s="141"/>
      <c r="J553" s="141">
        <f t="shared" si="17"/>
        <v>1.1499999999999999</v>
      </c>
      <c r="K553" s="141">
        <f t="shared" si="18"/>
        <v>14420.999999999996</v>
      </c>
    </row>
    <row r="554" spans="1:11">
      <c r="A554" s="141">
        <v>554</v>
      </c>
      <c r="B554" s="142">
        <v>42647</v>
      </c>
      <c r="C554" s="149">
        <v>10.399999999999999</v>
      </c>
      <c r="D554" s="141">
        <v>6889.399999999996</v>
      </c>
      <c r="E554" s="141"/>
      <c r="F554" s="141"/>
      <c r="G554" s="141"/>
      <c r="H554" s="141"/>
      <c r="J554" s="141">
        <f t="shared" si="17"/>
        <v>1.2400000000000002</v>
      </c>
      <c r="K554" s="141">
        <f t="shared" si="18"/>
        <v>14450.759999999997</v>
      </c>
    </row>
    <row r="555" spans="1:11">
      <c r="A555" s="141">
        <v>555</v>
      </c>
      <c r="B555" s="142">
        <v>42648</v>
      </c>
      <c r="C555" s="149">
        <v>6.8000000000000007</v>
      </c>
      <c r="D555" s="141">
        <v>6896.1999999999962</v>
      </c>
      <c r="E555" s="141"/>
      <c r="F555" s="141"/>
      <c r="G555" s="141"/>
      <c r="H555" s="141"/>
      <c r="J555" s="141">
        <f t="shared" si="17"/>
        <v>1.78</v>
      </c>
      <c r="K555" s="141">
        <f t="shared" si="18"/>
        <v>14493.479999999996</v>
      </c>
    </row>
    <row r="556" spans="1:11">
      <c r="A556" s="141">
        <v>556</v>
      </c>
      <c r="B556" s="142">
        <v>42649</v>
      </c>
      <c r="C556" s="149">
        <v>7.5</v>
      </c>
      <c r="D556" s="141">
        <v>6903.6999999999962</v>
      </c>
      <c r="E556" s="141"/>
      <c r="F556" s="141"/>
      <c r="G556" s="141"/>
      <c r="H556" s="141"/>
      <c r="J556" s="141">
        <f t="shared" si="17"/>
        <v>1.675</v>
      </c>
      <c r="K556" s="141">
        <f t="shared" si="18"/>
        <v>14533.679999999997</v>
      </c>
    </row>
    <row r="557" spans="1:11">
      <c r="A557" s="141">
        <v>557</v>
      </c>
      <c r="B557" s="142">
        <v>42650</v>
      </c>
      <c r="C557" s="149">
        <v>7.6000000000000014</v>
      </c>
      <c r="D557" s="141">
        <v>6911.2999999999965</v>
      </c>
      <c r="E557" s="141"/>
      <c r="F557" s="141"/>
      <c r="G557" s="141"/>
      <c r="H557" s="141"/>
      <c r="J557" s="141">
        <f t="shared" si="17"/>
        <v>1.66</v>
      </c>
      <c r="K557" s="141">
        <f t="shared" si="18"/>
        <v>14573.519999999997</v>
      </c>
    </row>
    <row r="558" spans="1:11">
      <c r="A558" s="141">
        <v>558</v>
      </c>
      <c r="B558" s="142">
        <v>42651</v>
      </c>
      <c r="C558" s="149">
        <v>7.1999999999999993</v>
      </c>
      <c r="D558" s="141">
        <v>6918.4999999999964</v>
      </c>
      <c r="E558" s="141"/>
      <c r="F558" s="141"/>
      <c r="G558" s="141"/>
      <c r="H558" s="141"/>
      <c r="J558" s="141">
        <f t="shared" si="17"/>
        <v>1.72</v>
      </c>
      <c r="K558" s="141">
        <f t="shared" si="18"/>
        <v>14614.799999999997</v>
      </c>
    </row>
    <row r="559" spans="1:11">
      <c r="A559" s="141">
        <v>559</v>
      </c>
      <c r="B559" s="142">
        <v>42652</v>
      </c>
      <c r="C559" s="149">
        <v>7.6999999999999993</v>
      </c>
      <c r="D559" s="141">
        <v>6926.1999999999962</v>
      </c>
      <c r="E559" s="141"/>
      <c r="F559" s="141"/>
      <c r="G559" s="141"/>
      <c r="H559" s="141"/>
      <c r="J559" s="141">
        <f t="shared" si="17"/>
        <v>1.645</v>
      </c>
      <c r="K559" s="141">
        <f t="shared" si="18"/>
        <v>14654.279999999997</v>
      </c>
    </row>
    <row r="560" spans="1:11">
      <c r="A560" s="141">
        <v>560</v>
      </c>
      <c r="B560" s="142">
        <v>42653</v>
      </c>
      <c r="C560" s="149">
        <v>6.6000000000000014</v>
      </c>
      <c r="D560" s="141">
        <v>6932.7999999999965</v>
      </c>
      <c r="E560" s="141"/>
      <c r="F560" s="141"/>
      <c r="G560" s="141"/>
      <c r="H560" s="141"/>
      <c r="J560" s="141">
        <f t="shared" si="17"/>
        <v>1.8099999999999998</v>
      </c>
      <c r="K560" s="141">
        <f t="shared" si="18"/>
        <v>14697.719999999998</v>
      </c>
    </row>
    <row r="561" spans="1:11">
      <c r="A561" s="141">
        <v>561</v>
      </c>
      <c r="B561" s="142">
        <v>42654</v>
      </c>
      <c r="C561" s="149">
        <v>6.6999999999999993</v>
      </c>
      <c r="D561" s="141">
        <v>6939.4999999999964</v>
      </c>
      <c r="E561" s="141"/>
      <c r="F561" s="141"/>
      <c r="G561" s="141"/>
      <c r="H561" s="141"/>
      <c r="J561" s="141">
        <f t="shared" si="17"/>
        <v>1.7950000000000002</v>
      </c>
      <c r="K561" s="141">
        <f t="shared" si="18"/>
        <v>14740.799999999997</v>
      </c>
    </row>
    <row r="562" spans="1:11">
      <c r="A562" s="141">
        <v>562</v>
      </c>
      <c r="B562" s="142">
        <v>42655</v>
      </c>
      <c r="C562" s="149">
        <v>6.1999999999999993</v>
      </c>
      <c r="D562" s="141">
        <v>6945.6999999999962</v>
      </c>
      <c r="E562" s="141"/>
      <c r="F562" s="141"/>
      <c r="G562" s="141"/>
      <c r="H562" s="141"/>
      <c r="J562" s="141">
        <f t="shared" si="17"/>
        <v>1.87</v>
      </c>
      <c r="K562" s="141">
        <f t="shared" si="18"/>
        <v>14785.679999999997</v>
      </c>
    </row>
    <row r="563" spans="1:11">
      <c r="A563" s="141">
        <v>563</v>
      </c>
      <c r="B563" s="142">
        <v>42656</v>
      </c>
      <c r="C563" s="149">
        <v>6.6000000000000014</v>
      </c>
      <c r="D563" s="141">
        <v>6952.2999999999965</v>
      </c>
      <c r="E563" s="141"/>
      <c r="F563" s="141"/>
      <c r="G563" s="141"/>
      <c r="H563" s="141"/>
      <c r="J563" s="141">
        <f t="shared" si="17"/>
        <v>1.8099999999999998</v>
      </c>
      <c r="K563" s="141">
        <f t="shared" si="18"/>
        <v>14829.119999999997</v>
      </c>
    </row>
    <row r="564" spans="1:11">
      <c r="A564" s="141">
        <v>564</v>
      </c>
      <c r="B564" s="142">
        <v>42657</v>
      </c>
      <c r="C564" s="149">
        <v>7.8999999999999986</v>
      </c>
      <c r="D564" s="141">
        <v>6960.1999999999962</v>
      </c>
      <c r="E564" s="141"/>
      <c r="F564" s="141"/>
      <c r="G564" s="141"/>
      <c r="H564" s="141"/>
      <c r="J564" s="141">
        <f t="shared" si="17"/>
        <v>1.615</v>
      </c>
      <c r="K564" s="141">
        <f t="shared" si="18"/>
        <v>14867.879999999997</v>
      </c>
    </row>
    <row r="565" spans="1:11">
      <c r="A565" s="141">
        <v>565</v>
      </c>
      <c r="B565" s="142">
        <v>42658</v>
      </c>
      <c r="C565" s="149">
        <v>9.6999999999999993</v>
      </c>
      <c r="D565" s="141">
        <v>6969.899999999996</v>
      </c>
      <c r="E565" s="141"/>
      <c r="F565" s="141"/>
      <c r="G565" s="141"/>
      <c r="H565" s="141"/>
      <c r="J565" s="141">
        <f t="shared" si="17"/>
        <v>1.345</v>
      </c>
      <c r="K565" s="141">
        <f t="shared" si="18"/>
        <v>14900.159999999998</v>
      </c>
    </row>
    <row r="566" spans="1:11">
      <c r="A566" s="141">
        <v>566</v>
      </c>
      <c r="B566" s="142">
        <v>42659</v>
      </c>
      <c r="C566" s="149">
        <v>11.3</v>
      </c>
      <c r="D566" s="141">
        <v>6981.1999999999962</v>
      </c>
      <c r="E566" s="141"/>
      <c r="F566" s="141"/>
      <c r="G566" s="141"/>
      <c r="H566" s="141"/>
      <c r="J566" s="141">
        <f t="shared" si="17"/>
        <v>1.105</v>
      </c>
      <c r="K566" s="141">
        <f t="shared" si="18"/>
        <v>14926.679999999998</v>
      </c>
    </row>
    <row r="567" spans="1:11">
      <c r="A567" s="141">
        <v>567</v>
      </c>
      <c r="B567" s="142">
        <v>42660</v>
      </c>
      <c r="C567" s="149">
        <v>8</v>
      </c>
      <c r="D567" s="141">
        <v>6989.1999999999962</v>
      </c>
      <c r="E567" s="141"/>
      <c r="F567" s="141"/>
      <c r="G567" s="141"/>
      <c r="H567" s="141"/>
      <c r="J567" s="141">
        <f t="shared" si="17"/>
        <v>1.6</v>
      </c>
      <c r="K567" s="141">
        <f t="shared" si="18"/>
        <v>14965.079999999998</v>
      </c>
    </row>
    <row r="568" spans="1:11">
      <c r="A568" s="141">
        <v>568</v>
      </c>
      <c r="B568" s="142">
        <v>42661</v>
      </c>
      <c r="C568" s="149">
        <v>9.8999999999999986</v>
      </c>
      <c r="D568" s="141">
        <v>6999.0999999999958</v>
      </c>
      <c r="E568" s="141"/>
      <c r="F568" s="141"/>
      <c r="G568" s="141"/>
      <c r="H568" s="141"/>
      <c r="J568" s="141">
        <f t="shared" si="17"/>
        <v>1.3150000000000002</v>
      </c>
      <c r="K568" s="141">
        <f t="shared" si="18"/>
        <v>14996.639999999998</v>
      </c>
    </row>
    <row r="569" spans="1:11">
      <c r="A569" s="141">
        <v>569</v>
      </c>
      <c r="B569" s="142">
        <v>42662</v>
      </c>
      <c r="C569" s="149">
        <v>10.399999999999999</v>
      </c>
      <c r="D569" s="141">
        <v>7009.4999999999955</v>
      </c>
      <c r="E569" s="141"/>
      <c r="F569" s="141"/>
      <c r="G569" s="141"/>
      <c r="H569" s="141"/>
      <c r="J569" s="141">
        <f t="shared" si="17"/>
        <v>1.2400000000000002</v>
      </c>
      <c r="K569" s="141">
        <f t="shared" si="18"/>
        <v>15026.399999999998</v>
      </c>
    </row>
    <row r="570" spans="1:11">
      <c r="A570" s="141">
        <v>570</v>
      </c>
      <c r="B570" s="142">
        <v>42663</v>
      </c>
      <c r="C570" s="149">
        <v>8.5</v>
      </c>
      <c r="D570" s="141">
        <v>7017.9999999999955</v>
      </c>
      <c r="E570" s="141"/>
      <c r="F570" s="141"/>
      <c r="G570" s="141"/>
      <c r="H570" s="141"/>
      <c r="J570" s="141">
        <f t="shared" si="17"/>
        <v>1.5249999999999999</v>
      </c>
      <c r="K570" s="141">
        <f t="shared" si="18"/>
        <v>15062.999999999998</v>
      </c>
    </row>
    <row r="571" spans="1:11">
      <c r="A571" s="141">
        <v>571</v>
      </c>
      <c r="B571" s="142">
        <v>42664</v>
      </c>
      <c r="C571" s="149">
        <v>7.3999999999999986</v>
      </c>
      <c r="D571" s="141">
        <v>7025.3999999999951</v>
      </c>
      <c r="E571" s="141"/>
      <c r="F571" s="141"/>
      <c r="G571" s="141"/>
      <c r="H571" s="141"/>
      <c r="J571" s="141">
        <f t="shared" si="17"/>
        <v>1.6900000000000002</v>
      </c>
      <c r="K571" s="141">
        <f t="shared" si="18"/>
        <v>15103.559999999998</v>
      </c>
    </row>
    <row r="572" spans="1:11">
      <c r="A572" s="141">
        <v>572</v>
      </c>
      <c r="B572" s="142">
        <v>42665</v>
      </c>
      <c r="C572" s="149">
        <v>5.6000000000000014</v>
      </c>
      <c r="D572" s="141">
        <v>7030.9999999999955</v>
      </c>
      <c r="E572" s="141"/>
      <c r="F572" s="141"/>
      <c r="G572" s="141"/>
      <c r="H572" s="141"/>
      <c r="J572" s="141">
        <f t="shared" si="17"/>
        <v>1.96</v>
      </c>
      <c r="K572" s="141">
        <f t="shared" si="18"/>
        <v>15150.599999999999</v>
      </c>
    </row>
    <row r="573" spans="1:11">
      <c r="A573" s="141">
        <v>573</v>
      </c>
      <c r="B573" s="142">
        <v>42666</v>
      </c>
      <c r="C573" s="149">
        <v>6.1999999999999993</v>
      </c>
      <c r="D573" s="141">
        <v>7037.1999999999953</v>
      </c>
      <c r="E573" s="141"/>
      <c r="F573" s="141"/>
      <c r="G573" s="141"/>
      <c r="H573" s="141"/>
      <c r="J573" s="141">
        <f t="shared" si="17"/>
        <v>1.87</v>
      </c>
      <c r="K573" s="141">
        <f t="shared" si="18"/>
        <v>15195.479999999998</v>
      </c>
    </row>
    <row r="574" spans="1:11">
      <c r="A574" s="141">
        <v>574</v>
      </c>
      <c r="B574" s="142">
        <v>42667</v>
      </c>
      <c r="C574" s="149">
        <v>9.3000000000000007</v>
      </c>
      <c r="D574" s="141">
        <v>7046.4999999999955</v>
      </c>
      <c r="E574" s="141"/>
      <c r="F574" s="141"/>
      <c r="G574" s="141"/>
      <c r="H574" s="141"/>
      <c r="J574" s="141">
        <f t="shared" si="17"/>
        <v>1.405</v>
      </c>
      <c r="K574" s="141">
        <f t="shared" si="18"/>
        <v>15229.199999999997</v>
      </c>
    </row>
    <row r="575" spans="1:11">
      <c r="A575" s="141">
        <v>575</v>
      </c>
      <c r="B575" s="142">
        <v>42668</v>
      </c>
      <c r="C575" s="149">
        <v>10.3</v>
      </c>
      <c r="D575" s="141">
        <v>7056.7999999999956</v>
      </c>
      <c r="E575" s="141"/>
      <c r="F575" s="141"/>
      <c r="G575" s="141"/>
      <c r="H575" s="141"/>
      <c r="J575" s="141">
        <f t="shared" si="17"/>
        <v>1.2549999999999999</v>
      </c>
      <c r="K575" s="141">
        <f t="shared" si="18"/>
        <v>15259.319999999998</v>
      </c>
    </row>
    <row r="576" spans="1:11">
      <c r="A576" s="141">
        <v>576</v>
      </c>
      <c r="B576" s="142">
        <v>42669</v>
      </c>
      <c r="C576" s="149">
        <v>8.8000000000000007</v>
      </c>
      <c r="D576" s="141">
        <v>7065.5999999999958</v>
      </c>
      <c r="E576" s="141"/>
      <c r="F576" s="141"/>
      <c r="G576" s="141"/>
      <c r="H576" s="141"/>
      <c r="J576" s="141">
        <f t="shared" si="17"/>
        <v>1.48</v>
      </c>
      <c r="K576" s="141">
        <f t="shared" si="18"/>
        <v>15294.839999999998</v>
      </c>
    </row>
    <row r="577" spans="1:11">
      <c r="A577" s="141">
        <v>577</v>
      </c>
      <c r="B577" s="142">
        <v>42670</v>
      </c>
      <c r="C577" s="149">
        <v>9</v>
      </c>
      <c r="D577" s="141">
        <v>7074.5999999999958</v>
      </c>
      <c r="E577" s="141"/>
      <c r="F577" s="141"/>
      <c r="G577" s="141"/>
      <c r="H577" s="141"/>
      <c r="J577" s="141">
        <f t="shared" si="17"/>
        <v>1.45</v>
      </c>
      <c r="K577" s="141">
        <f t="shared" si="18"/>
        <v>15329.639999999998</v>
      </c>
    </row>
    <row r="578" spans="1:11">
      <c r="A578" s="141">
        <v>578</v>
      </c>
      <c r="B578" s="142">
        <v>42671</v>
      </c>
      <c r="C578" s="149">
        <v>9.5</v>
      </c>
      <c r="D578" s="141">
        <v>7084.0999999999958</v>
      </c>
      <c r="E578" s="141"/>
      <c r="F578" s="141"/>
      <c r="G578" s="141"/>
      <c r="H578" s="141"/>
      <c r="J578" s="141">
        <f t="shared" si="17"/>
        <v>1.375</v>
      </c>
      <c r="K578" s="141">
        <f t="shared" si="18"/>
        <v>15362.639999999998</v>
      </c>
    </row>
    <row r="579" spans="1:11">
      <c r="A579" s="141">
        <v>579</v>
      </c>
      <c r="B579" s="142">
        <v>42672</v>
      </c>
      <c r="C579" s="149">
        <v>9.8999999999999986</v>
      </c>
      <c r="D579" s="141">
        <v>7093.9999999999955</v>
      </c>
      <c r="E579" s="141"/>
      <c r="F579" s="141"/>
      <c r="G579" s="141"/>
      <c r="H579" s="141"/>
      <c r="J579" s="141">
        <f t="shared" si="17"/>
        <v>1.3150000000000002</v>
      </c>
      <c r="K579" s="141">
        <f t="shared" si="18"/>
        <v>15394.199999999997</v>
      </c>
    </row>
    <row r="580" spans="1:11">
      <c r="A580" s="141">
        <v>580</v>
      </c>
      <c r="B580" s="142">
        <v>42673</v>
      </c>
      <c r="C580" s="149">
        <v>6.3999999999999986</v>
      </c>
      <c r="D580" s="141">
        <v>7100.3999999999951</v>
      </c>
      <c r="E580" s="141"/>
      <c r="F580" s="141"/>
      <c r="G580" s="141"/>
      <c r="H580" s="141"/>
      <c r="J580" s="141">
        <f t="shared" si="17"/>
        <v>1.84</v>
      </c>
      <c r="K580" s="141">
        <f t="shared" si="18"/>
        <v>15438.359999999997</v>
      </c>
    </row>
    <row r="581" spans="1:11">
      <c r="A581" s="141">
        <v>581</v>
      </c>
      <c r="B581" s="142">
        <v>42674</v>
      </c>
      <c r="C581" s="149">
        <v>5.6999999999999993</v>
      </c>
      <c r="D581" s="141">
        <v>7106.0999999999949</v>
      </c>
      <c r="E581" s="141"/>
      <c r="F581" s="141"/>
      <c r="G581" s="141"/>
      <c r="H581" s="141"/>
      <c r="J581" s="141">
        <f t="shared" si="17"/>
        <v>1.9450000000000001</v>
      </c>
      <c r="K581" s="141">
        <f t="shared" si="18"/>
        <v>15485.039999999997</v>
      </c>
    </row>
    <row r="582" spans="1:11">
      <c r="A582" s="141">
        <v>582</v>
      </c>
      <c r="B582" s="142">
        <v>42675</v>
      </c>
      <c r="C582" s="149">
        <v>9.1999999999999993</v>
      </c>
      <c r="D582" s="141">
        <v>7115.2999999999947</v>
      </c>
      <c r="E582" s="141"/>
      <c r="F582" s="141"/>
      <c r="G582" s="141"/>
      <c r="H582" s="141"/>
      <c r="J582" s="141">
        <f t="shared" si="17"/>
        <v>1.4200000000000002</v>
      </c>
      <c r="K582" s="141">
        <f t="shared" si="18"/>
        <v>15519.119999999997</v>
      </c>
    </row>
    <row r="583" spans="1:11">
      <c r="A583" s="141">
        <v>583</v>
      </c>
      <c r="B583" s="142">
        <v>42676</v>
      </c>
      <c r="C583" s="149">
        <v>7.1000000000000014</v>
      </c>
      <c r="D583" s="141">
        <v>7122.3999999999951</v>
      </c>
      <c r="E583" s="141"/>
      <c r="F583" s="141"/>
      <c r="G583" s="141"/>
      <c r="H583" s="141"/>
      <c r="J583" s="141">
        <f t="shared" ref="J583:J646" si="19">J$1+(IF(J$3-$C583&gt;0,J$3-$C583,0)*J$2/30)</f>
        <v>1.7349999999999999</v>
      </c>
      <c r="K583" s="141">
        <f t="shared" ref="K583:K646" si="20">K582+J583*24</f>
        <v>15560.759999999997</v>
      </c>
    </row>
    <row r="584" spans="1:11">
      <c r="A584" s="141">
        <v>584</v>
      </c>
      <c r="B584" s="142">
        <v>42677</v>
      </c>
      <c r="C584" s="149">
        <v>3.6000000000000014</v>
      </c>
      <c r="D584" s="141">
        <v>7125.9999999999955</v>
      </c>
      <c r="E584" s="141"/>
      <c r="F584" s="141"/>
      <c r="G584" s="141"/>
      <c r="H584" s="141"/>
      <c r="J584" s="141">
        <f t="shared" si="19"/>
        <v>2.2599999999999998</v>
      </c>
      <c r="K584" s="141">
        <f t="shared" si="20"/>
        <v>15614.999999999996</v>
      </c>
    </row>
    <row r="585" spans="1:11">
      <c r="A585" s="141">
        <v>585</v>
      </c>
      <c r="B585" s="142">
        <v>42678</v>
      </c>
      <c r="C585" s="149">
        <v>4</v>
      </c>
      <c r="D585" s="141">
        <v>7129.9999999999955</v>
      </c>
      <c r="E585" s="141"/>
      <c r="F585" s="141"/>
      <c r="G585" s="141"/>
      <c r="H585" s="141"/>
      <c r="J585" s="141">
        <f t="shared" si="19"/>
        <v>2.2000000000000002</v>
      </c>
      <c r="K585" s="141">
        <f t="shared" si="20"/>
        <v>15667.799999999996</v>
      </c>
    </row>
    <row r="586" spans="1:11">
      <c r="A586" s="141">
        <v>586</v>
      </c>
      <c r="B586" s="142">
        <v>42679</v>
      </c>
      <c r="C586" s="149">
        <v>3.8999999999999986</v>
      </c>
      <c r="D586" s="141">
        <v>7133.8999999999951</v>
      </c>
      <c r="E586" s="141"/>
      <c r="F586" s="141"/>
      <c r="G586" s="141"/>
      <c r="H586" s="141"/>
      <c r="J586" s="141">
        <f t="shared" si="19"/>
        <v>2.2149999999999999</v>
      </c>
      <c r="K586" s="141">
        <f t="shared" si="20"/>
        <v>15720.959999999995</v>
      </c>
    </row>
    <row r="587" spans="1:11">
      <c r="A587" s="141">
        <v>587</v>
      </c>
      <c r="B587" s="142">
        <v>42680</v>
      </c>
      <c r="C587" s="149">
        <v>5.3000000000000007</v>
      </c>
      <c r="D587" s="141">
        <v>7139.1999999999953</v>
      </c>
      <c r="E587" s="141"/>
      <c r="F587" s="141"/>
      <c r="G587" s="141"/>
      <c r="H587" s="141"/>
      <c r="J587" s="141">
        <f t="shared" si="19"/>
        <v>2.0049999999999999</v>
      </c>
      <c r="K587" s="141">
        <f t="shared" si="20"/>
        <v>15769.079999999996</v>
      </c>
    </row>
    <row r="588" spans="1:11">
      <c r="A588" s="141">
        <v>588</v>
      </c>
      <c r="B588" s="142">
        <v>42681</v>
      </c>
      <c r="C588" s="149">
        <v>3.5</v>
      </c>
      <c r="D588" s="141">
        <v>7142.6999999999953</v>
      </c>
      <c r="E588" s="141"/>
      <c r="F588" s="141"/>
      <c r="G588" s="141"/>
      <c r="H588" s="141"/>
      <c r="J588" s="141">
        <f t="shared" si="19"/>
        <v>2.2749999999999999</v>
      </c>
      <c r="K588" s="141">
        <f t="shared" si="20"/>
        <v>15823.679999999997</v>
      </c>
    </row>
    <row r="589" spans="1:11">
      <c r="A589" s="141">
        <v>589</v>
      </c>
      <c r="B589" s="142">
        <v>42682</v>
      </c>
      <c r="C589" s="149">
        <v>1.3999999999999986</v>
      </c>
      <c r="D589" s="141">
        <v>7144.0999999999949</v>
      </c>
      <c r="E589" s="141"/>
      <c r="F589" s="141"/>
      <c r="G589" s="141"/>
      <c r="H589" s="141"/>
      <c r="J589" s="141">
        <f t="shared" si="19"/>
        <v>2.5900000000000003</v>
      </c>
      <c r="K589" s="141">
        <f t="shared" si="20"/>
        <v>15885.839999999997</v>
      </c>
    </row>
    <row r="590" spans="1:11">
      <c r="A590" s="141">
        <v>590</v>
      </c>
      <c r="B590" s="142">
        <v>42683</v>
      </c>
      <c r="C590" s="149">
        <v>0.89999999999999858</v>
      </c>
      <c r="D590" s="141">
        <v>7144.9999999999945</v>
      </c>
      <c r="E590" s="141"/>
      <c r="F590" s="141"/>
      <c r="G590" s="141"/>
      <c r="H590" s="141"/>
      <c r="J590" s="141">
        <f t="shared" si="19"/>
        <v>2.665</v>
      </c>
      <c r="K590" s="141">
        <f t="shared" si="20"/>
        <v>15949.799999999996</v>
      </c>
    </row>
    <row r="591" spans="1:11">
      <c r="A591" s="141">
        <v>591</v>
      </c>
      <c r="B591" s="142">
        <v>42684</v>
      </c>
      <c r="C591" s="149">
        <v>1.5</v>
      </c>
      <c r="D591" s="141">
        <v>7146.4999999999945</v>
      </c>
      <c r="E591" s="141"/>
      <c r="F591" s="141"/>
      <c r="G591" s="141"/>
      <c r="H591" s="141"/>
      <c r="J591" s="141">
        <f t="shared" si="19"/>
        <v>2.5750000000000002</v>
      </c>
      <c r="K591" s="141">
        <f t="shared" si="20"/>
        <v>16011.599999999995</v>
      </c>
    </row>
    <row r="592" spans="1:11">
      <c r="A592" s="141">
        <v>592</v>
      </c>
      <c r="B592" s="142">
        <v>42685</v>
      </c>
      <c r="C592" s="149">
        <v>2</v>
      </c>
      <c r="D592" s="141">
        <v>7148.4999999999945</v>
      </c>
      <c r="E592" s="141"/>
      <c r="F592" s="141"/>
      <c r="G592" s="141"/>
      <c r="H592" s="141"/>
      <c r="J592" s="141">
        <f t="shared" si="19"/>
        <v>2.5</v>
      </c>
      <c r="K592" s="141">
        <f t="shared" si="20"/>
        <v>16071.599999999995</v>
      </c>
    </row>
    <row r="593" spans="1:11">
      <c r="A593" s="141">
        <v>593</v>
      </c>
      <c r="B593" s="142">
        <v>42686</v>
      </c>
      <c r="C593" s="149">
        <v>-0.39999999999999858</v>
      </c>
      <c r="D593" s="141">
        <v>7148.0999999999949</v>
      </c>
      <c r="E593" s="141"/>
      <c r="F593" s="141"/>
      <c r="G593" s="141"/>
      <c r="H593" s="141"/>
      <c r="J593" s="141">
        <f t="shared" si="19"/>
        <v>2.86</v>
      </c>
      <c r="K593" s="141">
        <f t="shared" si="20"/>
        <v>16140.239999999994</v>
      </c>
    </row>
    <row r="594" spans="1:11">
      <c r="A594" s="141">
        <v>594</v>
      </c>
      <c r="B594" s="142">
        <v>42687</v>
      </c>
      <c r="C594" s="149">
        <v>-1.6000000000000014</v>
      </c>
      <c r="D594" s="141">
        <v>7146.4999999999945</v>
      </c>
      <c r="E594" s="141"/>
      <c r="F594" s="141"/>
      <c r="G594" s="141"/>
      <c r="H594" s="141"/>
      <c r="J594" s="141">
        <f t="shared" si="19"/>
        <v>3.04</v>
      </c>
      <c r="K594" s="141">
        <f t="shared" si="20"/>
        <v>16213.199999999993</v>
      </c>
    </row>
    <row r="595" spans="1:11">
      <c r="A595" s="141">
        <v>595</v>
      </c>
      <c r="B595" s="142">
        <v>42688</v>
      </c>
      <c r="C595" s="149">
        <v>-2.7999999999999972</v>
      </c>
      <c r="D595" s="141">
        <v>7143.6999999999944</v>
      </c>
      <c r="E595" s="141"/>
      <c r="F595" s="141"/>
      <c r="G595" s="141"/>
      <c r="H595" s="141"/>
      <c r="J595" s="141">
        <f t="shared" si="19"/>
        <v>3.2199999999999998</v>
      </c>
      <c r="K595" s="141">
        <f t="shared" si="20"/>
        <v>16290.479999999994</v>
      </c>
    </row>
    <row r="596" spans="1:11">
      <c r="A596" s="141">
        <v>596</v>
      </c>
      <c r="B596" s="142">
        <v>42689</v>
      </c>
      <c r="C596" s="149">
        <v>-1.5</v>
      </c>
      <c r="D596" s="141">
        <v>7142.1999999999944</v>
      </c>
      <c r="E596" s="141"/>
      <c r="F596" s="141"/>
      <c r="G596" s="141"/>
      <c r="H596" s="141"/>
      <c r="J596" s="141">
        <f t="shared" si="19"/>
        <v>3.0249999999999999</v>
      </c>
      <c r="K596" s="141">
        <f t="shared" si="20"/>
        <v>16363.079999999994</v>
      </c>
    </row>
    <row r="597" spans="1:11">
      <c r="A597" s="141">
        <v>597</v>
      </c>
      <c r="B597" s="142">
        <v>42690</v>
      </c>
      <c r="C597" s="149">
        <v>5.6999999999999993</v>
      </c>
      <c r="D597" s="141">
        <v>7147.8999999999942</v>
      </c>
      <c r="E597" s="141"/>
      <c r="F597" s="141"/>
      <c r="G597" s="141"/>
      <c r="H597" s="141"/>
      <c r="J597" s="141">
        <f t="shared" si="19"/>
        <v>1.9450000000000001</v>
      </c>
      <c r="K597" s="141">
        <f t="shared" si="20"/>
        <v>16409.759999999995</v>
      </c>
    </row>
    <row r="598" spans="1:11">
      <c r="A598" s="141">
        <v>598</v>
      </c>
      <c r="B598" s="142">
        <v>42691</v>
      </c>
      <c r="C598" s="149">
        <v>9</v>
      </c>
      <c r="D598" s="141">
        <v>7156.8999999999942</v>
      </c>
      <c r="E598" s="141"/>
      <c r="F598" s="141"/>
      <c r="G598" s="141"/>
      <c r="H598" s="141"/>
      <c r="J598" s="141">
        <f t="shared" si="19"/>
        <v>1.45</v>
      </c>
      <c r="K598" s="141">
        <f t="shared" si="20"/>
        <v>16444.559999999994</v>
      </c>
    </row>
    <row r="599" spans="1:11">
      <c r="A599" s="141">
        <v>599</v>
      </c>
      <c r="B599" s="142">
        <v>42692</v>
      </c>
      <c r="C599" s="149">
        <v>9.1000000000000014</v>
      </c>
      <c r="D599" s="141">
        <v>7165.9999999999945</v>
      </c>
      <c r="E599" s="141"/>
      <c r="F599" s="141"/>
      <c r="G599" s="141"/>
      <c r="H599" s="141"/>
      <c r="J599" s="141">
        <f t="shared" si="19"/>
        <v>1.4349999999999998</v>
      </c>
      <c r="K599" s="141">
        <f t="shared" si="20"/>
        <v>16478.999999999993</v>
      </c>
    </row>
    <row r="600" spans="1:11">
      <c r="A600" s="141">
        <v>600</v>
      </c>
      <c r="B600" s="142">
        <v>42693</v>
      </c>
      <c r="C600" s="149">
        <v>6.5</v>
      </c>
      <c r="D600" s="141">
        <v>7172.4999999999945</v>
      </c>
      <c r="E600" s="141"/>
      <c r="F600" s="141"/>
      <c r="G600" s="141"/>
      <c r="H600" s="141"/>
      <c r="J600" s="141">
        <f t="shared" si="19"/>
        <v>1.825</v>
      </c>
      <c r="K600" s="141">
        <f t="shared" si="20"/>
        <v>16522.799999999992</v>
      </c>
    </row>
    <row r="601" spans="1:11">
      <c r="A601" s="141">
        <v>601</v>
      </c>
      <c r="B601" s="142">
        <v>42694</v>
      </c>
      <c r="C601" s="149">
        <v>4.1999999999999993</v>
      </c>
      <c r="D601" s="141">
        <v>7176.6999999999944</v>
      </c>
      <c r="E601" s="141"/>
      <c r="F601" s="141"/>
      <c r="G601" s="141"/>
      <c r="H601" s="141"/>
      <c r="J601" s="141">
        <f t="shared" si="19"/>
        <v>2.17</v>
      </c>
      <c r="K601" s="141">
        <f t="shared" si="20"/>
        <v>16574.879999999994</v>
      </c>
    </row>
    <row r="602" spans="1:11">
      <c r="A602" s="141">
        <v>602</v>
      </c>
      <c r="B602" s="142">
        <v>42695</v>
      </c>
      <c r="C602" s="149">
        <v>3.6000000000000014</v>
      </c>
      <c r="D602" s="141">
        <v>7180.2999999999947</v>
      </c>
      <c r="E602" s="141"/>
      <c r="F602" s="141"/>
      <c r="G602" s="141"/>
      <c r="H602" s="141"/>
      <c r="J602" s="141">
        <f t="shared" si="19"/>
        <v>2.2599999999999998</v>
      </c>
      <c r="K602" s="141">
        <f t="shared" si="20"/>
        <v>16629.119999999995</v>
      </c>
    </row>
    <row r="603" spans="1:11">
      <c r="A603" s="141">
        <v>603</v>
      </c>
      <c r="B603" s="142">
        <v>42696</v>
      </c>
      <c r="C603" s="149">
        <v>7.6000000000000014</v>
      </c>
      <c r="D603" s="141">
        <v>7187.8999999999951</v>
      </c>
      <c r="E603" s="141"/>
      <c r="F603" s="141"/>
      <c r="G603" s="141"/>
      <c r="H603" s="141"/>
      <c r="J603" s="141">
        <f t="shared" si="19"/>
        <v>1.66</v>
      </c>
      <c r="K603" s="141">
        <f t="shared" si="20"/>
        <v>16668.959999999995</v>
      </c>
    </row>
    <row r="604" spans="1:11">
      <c r="A604" s="141">
        <v>604</v>
      </c>
      <c r="B604" s="142">
        <v>42697</v>
      </c>
      <c r="C604" s="149">
        <v>7.3999999999999986</v>
      </c>
      <c r="D604" s="141">
        <v>7195.2999999999947</v>
      </c>
      <c r="E604" s="141"/>
      <c r="F604" s="141"/>
      <c r="G604" s="141"/>
      <c r="H604" s="141"/>
      <c r="J604" s="141">
        <f t="shared" si="19"/>
        <v>1.6900000000000002</v>
      </c>
      <c r="K604" s="141">
        <f t="shared" si="20"/>
        <v>16709.519999999997</v>
      </c>
    </row>
    <row r="605" spans="1:11">
      <c r="A605" s="141">
        <v>605</v>
      </c>
      <c r="B605" s="142">
        <v>42698</v>
      </c>
      <c r="C605" s="149">
        <v>6.8000000000000007</v>
      </c>
      <c r="D605" s="141">
        <v>7202.0999999999949</v>
      </c>
      <c r="E605" s="141"/>
      <c r="F605" s="141"/>
      <c r="G605" s="141"/>
      <c r="H605" s="141"/>
      <c r="J605" s="141">
        <f t="shared" si="19"/>
        <v>1.78</v>
      </c>
      <c r="K605" s="141">
        <f t="shared" si="20"/>
        <v>16752.239999999998</v>
      </c>
    </row>
    <row r="606" spans="1:11">
      <c r="A606" s="141">
        <v>606</v>
      </c>
      <c r="B606" s="142">
        <v>42699</v>
      </c>
      <c r="C606" s="149">
        <v>5.3000000000000007</v>
      </c>
      <c r="D606" s="141">
        <v>7207.3999999999951</v>
      </c>
      <c r="E606" s="141"/>
      <c r="F606" s="141"/>
      <c r="G606" s="141"/>
      <c r="H606" s="141"/>
      <c r="J606" s="141">
        <f t="shared" si="19"/>
        <v>2.0049999999999999</v>
      </c>
      <c r="K606" s="141">
        <f t="shared" si="20"/>
        <v>16800.359999999997</v>
      </c>
    </row>
    <row r="607" spans="1:11">
      <c r="A607" s="141">
        <v>607</v>
      </c>
      <c r="B607" s="142">
        <v>42700</v>
      </c>
      <c r="C607" s="149">
        <v>3</v>
      </c>
      <c r="D607" s="141">
        <v>7210.3999999999951</v>
      </c>
      <c r="E607" s="141"/>
      <c r="F607" s="141"/>
      <c r="G607" s="141"/>
      <c r="H607" s="141"/>
      <c r="J607" s="141">
        <f t="shared" si="19"/>
        <v>2.35</v>
      </c>
      <c r="K607" s="141">
        <f t="shared" si="20"/>
        <v>16856.759999999998</v>
      </c>
    </row>
    <row r="608" spans="1:11">
      <c r="A608" s="141">
        <v>608</v>
      </c>
      <c r="B608" s="142">
        <v>42701</v>
      </c>
      <c r="C608" s="149">
        <v>3.6000000000000014</v>
      </c>
      <c r="D608" s="141">
        <v>7213.9999999999955</v>
      </c>
      <c r="E608" s="141"/>
      <c r="F608" s="141"/>
      <c r="G608" s="141"/>
      <c r="H608" s="141"/>
      <c r="J608" s="141">
        <f t="shared" si="19"/>
        <v>2.2599999999999998</v>
      </c>
      <c r="K608" s="141">
        <f t="shared" si="20"/>
        <v>16911</v>
      </c>
    </row>
    <row r="609" spans="1:11">
      <c r="A609" s="141">
        <v>609</v>
      </c>
      <c r="B609" s="142">
        <v>42702</v>
      </c>
      <c r="C609" s="149">
        <v>-0.39999999999999858</v>
      </c>
      <c r="D609" s="141">
        <v>7213.5999999999958</v>
      </c>
      <c r="E609" s="141"/>
      <c r="F609" s="141"/>
      <c r="G609" s="141"/>
      <c r="H609" s="141"/>
      <c r="J609" s="141">
        <f t="shared" si="19"/>
        <v>2.86</v>
      </c>
      <c r="K609" s="141">
        <f t="shared" si="20"/>
        <v>16979.64</v>
      </c>
    </row>
    <row r="610" spans="1:11">
      <c r="A610" s="141">
        <v>610</v>
      </c>
      <c r="B610" s="142">
        <v>42703</v>
      </c>
      <c r="C610" s="149">
        <v>-1.6999999999999993</v>
      </c>
      <c r="D610" s="141">
        <v>7211.899999999996</v>
      </c>
      <c r="E610" s="141"/>
      <c r="F610" s="141"/>
      <c r="G610" s="141"/>
      <c r="H610" s="141"/>
      <c r="J610" s="141">
        <f t="shared" si="19"/>
        <v>3.0549999999999997</v>
      </c>
      <c r="K610" s="141">
        <f t="shared" si="20"/>
        <v>17052.96</v>
      </c>
    </row>
    <row r="611" spans="1:11">
      <c r="A611" s="141">
        <v>611</v>
      </c>
      <c r="B611" s="142">
        <v>42704</v>
      </c>
      <c r="C611" s="149">
        <v>-1.1000000000000014</v>
      </c>
      <c r="D611" s="141">
        <v>7210.7999999999956</v>
      </c>
      <c r="E611" s="141"/>
      <c r="F611" s="141"/>
      <c r="G611" s="141"/>
      <c r="H611" s="141"/>
      <c r="J611" s="141">
        <f t="shared" si="19"/>
        <v>2.9650000000000003</v>
      </c>
      <c r="K611" s="141">
        <f t="shared" si="20"/>
        <v>17124.12</v>
      </c>
    </row>
    <row r="612" spans="1:11">
      <c r="A612" s="141">
        <v>612</v>
      </c>
      <c r="B612" s="142">
        <v>42705</v>
      </c>
      <c r="C612" s="149">
        <v>3.1999999999999993</v>
      </c>
      <c r="D612" s="141">
        <v>7213.9999999999955</v>
      </c>
      <c r="E612" s="141"/>
      <c r="F612" s="141"/>
      <c r="G612" s="141"/>
      <c r="H612" s="141"/>
      <c r="J612" s="141">
        <f t="shared" si="19"/>
        <v>2.3199999999999998</v>
      </c>
      <c r="K612" s="141">
        <f t="shared" si="20"/>
        <v>17179.8</v>
      </c>
    </row>
    <row r="613" spans="1:11">
      <c r="A613" s="141">
        <v>613</v>
      </c>
      <c r="B613" s="142">
        <v>42706</v>
      </c>
      <c r="C613" s="149">
        <v>3.3999999999999986</v>
      </c>
      <c r="D613" s="141">
        <v>7217.3999999999951</v>
      </c>
      <c r="E613" s="141"/>
      <c r="F613" s="141"/>
      <c r="G613" s="141"/>
      <c r="H613" s="141"/>
      <c r="J613" s="141">
        <f t="shared" si="19"/>
        <v>2.29</v>
      </c>
      <c r="K613" s="141">
        <f t="shared" si="20"/>
        <v>17234.759999999998</v>
      </c>
    </row>
    <row r="614" spans="1:11">
      <c r="A614" s="141">
        <v>614</v>
      </c>
      <c r="B614" s="142">
        <v>42707</v>
      </c>
      <c r="C614" s="149">
        <v>-2.3999999999999986</v>
      </c>
      <c r="D614" s="141">
        <v>7214.9999999999955</v>
      </c>
      <c r="E614" s="141"/>
      <c r="F614" s="141"/>
      <c r="G614" s="141"/>
      <c r="H614" s="141"/>
      <c r="J614" s="141">
        <f t="shared" si="19"/>
        <v>3.1599999999999997</v>
      </c>
      <c r="K614" s="141">
        <f t="shared" si="20"/>
        <v>17310.599999999999</v>
      </c>
    </row>
    <row r="615" spans="1:11">
      <c r="A615" s="141">
        <v>615</v>
      </c>
      <c r="B615" s="142">
        <v>42708</v>
      </c>
      <c r="C615" s="149">
        <v>-4.7999999999999972</v>
      </c>
      <c r="D615" s="141">
        <v>7210.1999999999953</v>
      </c>
      <c r="E615" s="141"/>
      <c r="F615" s="141"/>
      <c r="G615" s="141"/>
      <c r="H615" s="141"/>
      <c r="J615" s="141">
        <f t="shared" si="19"/>
        <v>3.52</v>
      </c>
      <c r="K615" s="141">
        <f t="shared" si="20"/>
        <v>17395.079999999998</v>
      </c>
    </row>
    <row r="616" spans="1:11">
      <c r="A616" s="141">
        <v>616</v>
      </c>
      <c r="B616" s="142">
        <v>42709</v>
      </c>
      <c r="C616" s="149">
        <v>-4.2000000000000028</v>
      </c>
      <c r="D616" s="141">
        <v>7205.9999999999955</v>
      </c>
      <c r="E616" s="141"/>
      <c r="F616" s="141"/>
      <c r="G616" s="141"/>
      <c r="H616" s="141"/>
      <c r="J616" s="141">
        <f t="shared" si="19"/>
        <v>3.43</v>
      </c>
      <c r="K616" s="141">
        <f t="shared" si="20"/>
        <v>17477.399999999998</v>
      </c>
    </row>
    <row r="617" spans="1:11">
      <c r="A617" s="141">
        <v>617</v>
      </c>
      <c r="B617" s="142">
        <v>42710</v>
      </c>
      <c r="C617" s="149">
        <v>-1.8999999999999986</v>
      </c>
      <c r="D617" s="141">
        <v>7204.0999999999958</v>
      </c>
      <c r="E617" s="141"/>
      <c r="F617" s="141"/>
      <c r="G617" s="141"/>
      <c r="H617" s="141"/>
      <c r="J617" s="141">
        <f t="shared" si="19"/>
        <v>3.085</v>
      </c>
      <c r="K617" s="141">
        <f t="shared" si="20"/>
        <v>17551.439999999999</v>
      </c>
    </row>
    <row r="618" spans="1:11">
      <c r="A618" s="141">
        <v>618</v>
      </c>
      <c r="B618" s="142">
        <v>42711</v>
      </c>
      <c r="C618" s="149">
        <v>-1</v>
      </c>
      <c r="D618" s="141">
        <v>7203.0999999999958</v>
      </c>
      <c r="E618" s="141"/>
      <c r="F618" s="141"/>
      <c r="G618" s="141"/>
      <c r="H618" s="141"/>
      <c r="J618" s="141">
        <f t="shared" si="19"/>
        <v>2.95</v>
      </c>
      <c r="K618" s="141">
        <f t="shared" si="20"/>
        <v>17622.239999999998</v>
      </c>
    </row>
    <row r="619" spans="1:11">
      <c r="A619" s="141">
        <v>619</v>
      </c>
      <c r="B619" s="142">
        <v>42712</v>
      </c>
      <c r="C619" s="149">
        <v>2.8000000000000007</v>
      </c>
      <c r="D619" s="141">
        <v>7205.899999999996</v>
      </c>
      <c r="E619" s="141"/>
      <c r="F619" s="141"/>
      <c r="G619" s="141"/>
      <c r="H619" s="141"/>
      <c r="J619" s="141">
        <f t="shared" si="19"/>
        <v>2.38</v>
      </c>
      <c r="K619" s="141">
        <f t="shared" si="20"/>
        <v>17679.359999999997</v>
      </c>
    </row>
    <row r="620" spans="1:11">
      <c r="A620" s="141">
        <v>620</v>
      </c>
      <c r="B620" s="142">
        <v>42713</v>
      </c>
      <c r="C620" s="149">
        <v>5.6000000000000014</v>
      </c>
      <c r="D620" s="141">
        <v>7211.4999999999964</v>
      </c>
      <c r="E620" s="141"/>
      <c r="F620" s="141"/>
      <c r="G620" s="141"/>
      <c r="H620" s="141"/>
      <c r="J620" s="141">
        <f t="shared" si="19"/>
        <v>1.96</v>
      </c>
      <c r="K620" s="141">
        <f t="shared" si="20"/>
        <v>17726.399999999998</v>
      </c>
    </row>
    <row r="621" spans="1:11">
      <c r="A621" s="141">
        <v>621</v>
      </c>
      <c r="B621" s="142">
        <v>42714</v>
      </c>
      <c r="C621" s="149">
        <v>7.3999999999999986</v>
      </c>
      <c r="D621" s="141">
        <v>7218.899999999996</v>
      </c>
      <c r="E621" s="141"/>
      <c r="F621" s="141"/>
      <c r="G621" s="141"/>
      <c r="H621" s="141"/>
      <c r="J621" s="141">
        <f t="shared" si="19"/>
        <v>1.6900000000000002</v>
      </c>
      <c r="K621" s="141">
        <f t="shared" si="20"/>
        <v>17766.96</v>
      </c>
    </row>
    <row r="622" spans="1:11">
      <c r="A622" s="141">
        <v>622</v>
      </c>
      <c r="B622" s="142">
        <v>42715</v>
      </c>
      <c r="C622" s="149">
        <v>5.8999999999999986</v>
      </c>
      <c r="D622" s="141">
        <v>7224.7999999999956</v>
      </c>
      <c r="E622" s="141"/>
      <c r="F622" s="141"/>
      <c r="G622" s="141"/>
      <c r="H622" s="141"/>
      <c r="J622" s="141">
        <f t="shared" si="19"/>
        <v>1.915</v>
      </c>
      <c r="K622" s="141">
        <f t="shared" si="20"/>
        <v>17812.919999999998</v>
      </c>
    </row>
    <row r="623" spans="1:11">
      <c r="A623" s="141">
        <v>623</v>
      </c>
      <c r="B623" s="142">
        <v>42716</v>
      </c>
      <c r="C623" s="149">
        <v>3.6999999999999993</v>
      </c>
      <c r="D623" s="141">
        <v>7228.4999999999955</v>
      </c>
      <c r="E623" s="141"/>
      <c r="F623" s="141"/>
      <c r="G623" s="141"/>
      <c r="H623" s="141"/>
      <c r="J623" s="141">
        <f t="shared" si="19"/>
        <v>2.2450000000000001</v>
      </c>
      <c r="K623" s="141">
        <f t="shared" si="20"/>
        <v>17866.8</v>
      </c>
    </row>
    <row r="624" spans="1:11">
      <c r="A624" s="141">
        <v>624</v>
      </c>
      <c r="B624" s="142">
        <v>42717</v>
      </c>
      <c r="C624" s="149">
        <v>-1.5</v>
      </c>
      <c r="D624" s="141">
        <v>7226.9999999999955</v>
      </c>
      <c r="E624" s="141"/>
      <c r="F624" s="141"/>
      <c r="G624" s="141"/>
      <c r="H624" s="141"/>
      <c r="J624" s="141">
        <f t="shared" si="19"/>
        <v>3.0249999999999999</v>
      </c>
      <c r="K624" s="141">
        <f t="shared" si="20"/>
        <v>17939.399999999998</v>
      </c>
    </row>
    <row r="625" spans="1:11">
      <c r="A625" s="141">
        <v>625</v>
      </c>
      <c r="B625" s="142">
        <v>42718</v>
      </c>
      <c r="C625" s="149">
        <v>2.6000000000000014</v>
      </c>
      <c r="D625" s="141">
        <v>7229.5999999999958</v>
      </c>
      <c r="E625" s="141"/>
      <c r="F625" s="141"/>
      <c r="G625" s="141"/>
      <c r="H625" s="141"/>
      <c r="J625" s="141">
        <f t="shared" si="19"/>
        <v>2.4099999999999997</v>
      </c>
      <c r="K625" s="141">
        <f t="shared" si="20"/>
        <v>17997.239999999998</v>
      </c>
    </row>
    <row r="626" spans="1:11">
      <c r="A626" s="141">
        <v>626</v>
      </c>
      <c r="B626" s="142">
        <v>42719</v>
      </c>
      <c r="C626" s="149">
        <v>0.80000000000000071</v>
      </c>
      <c r="D626" s="141">
        <v>7230.399999999996</v>
      </c>
      <c r="E626" s="141"/>
      <c r="F626" s="141"/>
      <c r="G626" s="141"/>
      <c r="H626" s="141"/>
      <c r="J626" s="141">
        <f t="shared" si="19"/>
        <v>2.6799999999999997</v>
      </c>
      <c r="K626" s="141">
        <f t="shared" si="20"/>
        <v>18061.559999999998</v>
      </c>
    </row>
    <row r="627" spans="1:11">
      <c r="A627" s="141">
        <v>627</v>
      </c>
      <c r="B627" s="142">
        <v>42720</v>
      </c>
      <c r="C627" s="149">
        <v>0</v>
      </c>
      <c r="D627" s="141">
        <v>7230.399999999996</v>
      </c>
      <c r="E627" s="141"/>
      <c r="F627" s="141"/>
      <c r="G627" s="141"/>
      <c r="H627" s="141"/>
      <c r="J627" s="141">
        <f t="shared" si="19"/>
        <v>2.8</v>
      </c>
      <c r="K627" s="141">
        <f t="shared" si="20"/>
        <v>18128.759999999998</v>
      </c>
    </row>
    <row r="628" spans="1:11">
      <c r="A628" s="141">
        <v>628</v>
      </c>
      <c r="B628" s="142">
        <v>42721</v>
      </c>
      <c r="C628" s="149">
        <v>-2.6000000000000014</v>
      </c>
      <c r="D628" s="141">
        <v>7227.7999999999956</v>
      </c>
      <c r="E628" s="141"/>
      <c r="F628" s="141"/>
      <c r="G628" s="141"/>
      <c r="H628" s="141"/>
      <c r="J628" s="141">
        <f t="shared" si="19"/>
        <v>3.19</v>
      </c>
      <c r="K628" s="141">
        <f t="shared" si="20"/>
        <v>18205.32</v>
      </c>
    </row>
    <row r="629" spans="1:11">
      <c r="A629" s="141">
        <v>629</v>
      </c>
      <c r="B629" s="142">
        <v>42722</v>
      </c>
      <c r="C629" s="149">
        <v>0.39999999999999858</v>
      </c>
      <c r="D629" s="141">
        <v>7228.1999999999953</v>
      </c>
      <c r="E629" s="141"/>
      <c r="F629" s="141"/>
      <c r="G629" s="141"/>
      <c r="H629" s="141"/>
      <c r="J629" s="141">
        <f t="shared" si="19"/>
        <v>2.74</v>
      </c>
      <c r="K629" s="141">
        <f t="shared" si="20"/>
        <v>18271.079999999998</v>
      </c>
    </row>
    <row r="630" spans="1:11">
      <c r="A630" s="141">
        <v>630</v>
      </c>
      <c r="B630" s="142">
        <v>42723</v>
      </c>
      <c r="C630" s="149">
        <v>0.89999999999999858</v>
      </c>
      <c r="D630" s="141">
        <v>7229.0999999999949</v>
      </c>
      <c r="E630" s="141"/>
      <c r="F630" s="141"/>
      <c r="G630" s="141"/>
      <c r="H630" s="141"/>
      <c r="J630" s="141">
        <f t="shared" si="19"/>
        <v>2.665</v>
      </c>
      <c r="K630" s="141">
        <f t="shared" si="20"/>
        <v>18335.039999999997</v>
      </c>
    </row>
    <row r="631" spans="1:11">
      <c r="A631" s="141">
        <v>631</v>
      </c>
      <c r="B631" s="142">
        <v>42724</v>
      </c>
      <c r="C631" s="149">
        <v>-1.3000000000000007</v>
      </c>
      <c r="D631" s="141">
        <v>7227.7999999999947</v>
      </c>
      <c r="E631" s="141"/>
      <c r="F631" s="141"/>
      <c r="G631" s="141"/>
      <c r="H631" s="141"/>
      <c r="J631" s="141">
        <f t="shared" si="19"/>
        <v>2.9950000000000001</v>
      </c>
      <c r="K631" s="141">
        <f t="shared" si="20"/>
        <v>18406.919999999998</v>
      </c>
    </row>
    <row r="632" spans="1:11">
      <c r="A632" s="141">
        <v>632</v>
      </c>
      <c r="B632" s="142">
        <v>42725</v>
      </c>
      <c r="C632" s="149">
        <v>-2.5</v>
      </c>
      <c r="D632" s="141">
        <v>7225.2999999999947</v>
      </c>
      <c r="E632" s="141"/>
      <c r="F632" s="141"/>
      <c r="G632" s="141"/>
      <c r="H632" s="141"/>
      <c r="J632" s="141">
        <f t="shared" si="19"/>
        <v>3.1749999999999998</v>
      </c>
      <c r="K632" s="141">
        <f t="shared" si="20"/>
        <v>18483.12</v>
      </c>
    </row>
    <row r="633" spans="1:11">
      <c r="A633" s="141">
        <v>633</v>
      </c>
      <c r="B633" s="142">
        <v>42726</v>
      </c>
      <c r="C633" s="149">
        <v>-3.3999999999999986</v>
      </c>
      <c r="D633" s="141">
        <v>7221.8999999999951</v>
      </c>
      <c r="E633" s="141"/>
      <c r="F633" s="141"/>
      <c r="G633" s="141"/>
      <c r="H633" s="141"/>
      <c r="J633" s="141">
        <f t="shared" si="19"/>
        <v>3.31</v>
      </c>
      <c r="K633" s="141">
        <f t="shared" si="20"/>
        <v>18562.559999999998</v>
      </c>
    </row>
    <row r="634" spans="1:11">
      <c r="A634" s="141">
        <v>634</v>
      </c>
      <c r="B634" s="142">
        <v>42727</v>
      </c>
      <c r="C634" s="149">
        <v>-0.5</v>
      </c>
      <c r="D634" s="141">
        <v>7221.3999999999951</v>
      </c>
      <c r="E634" s="141"/>
      <c r="F634" s="141"/>
      <c r="G634" s="141"/>
      <c r="H634" s="141"/>
      <c r="J634" s="141">
        <f t="shared" si="19"/>
        <v>2.875</v>
      </c>
      <c r="K634" s="141">
        <f t="shared" si="20"/>
        <v>18631.559999999998</v>
      </c>
    </row>
    <row r="635" spans="1:11">
      <c r="A635" s="141">
        <v>635</v>
      </c>
      <c r="B635" s="142">
        <v>42728</v>
      </c>
      <c r="C635" s="149">
        <v>3.1000000000000014</v>
      </c>
      <c r="D635" s="141">
        <v>7224.4999999999955</v>
      </c>
      <c r="E635" s="141"/>
      <c r="F635" s="141"/>
      <c r="G635" s="141"/>
      <c r="H635" s="141"/>
      <c r="J635" s="141">
        <f t="shared" si="19"/>
        <v>2.335</v>
      </c>
      <c r="K635" s="141">
        <f t="shared" si="20"/>
        <v>18687.599999999999</v>
      </c>
    </row>
    <row r="636" spans="1:11">
      <c r="A636" s="141">
        <v>636</v>
      </c>
      <c r="B636" s="142">
        <v>42729</v>
      </c>
      <c r="C636" s="149">
        <v>6.1000000000000014</v>
      </c>
      <c r="D636" s="141">
        <v>7230.5999999999958</v>
      </c>
      <c r="E636" s="141"/>
      <c r="F636" s="141"/>
      <c r="G636" s="141"/>
      <c r="H636" s="141"/>
      <c r="J636" s="141">
        <f t="shared" si="19"/>
        <v>1.885</v>
      </c>
      <c r="K636" s="141">
        <f t="shared" si="20"/>
        <v>18732.84</v>
      </c>
    </row>
    <row r="637" spans="1:11">
      <c r="A637" s="141">
        <v>637</v>
      </c>
      <c r="B637" s="142">
        <v>42730</v>
      </c>
      <c r="C637" s="149">
        <v>7.3000000000000007</v>
      </c>
      <c r="D637" s="141">
        <v>7237.899999999996</v>
      </c>
      <c r="E637" s="141"/>
      <c r="F637" s="141"/>
      <c r="G637" s="141"/>
      <c r="H637" s="141"/>
      <c r="J637" s="141">
        <f t="shared" si="19"/>
        <v>1.7049999999999998</v>
      </c>
      <c r="K637" s="141">
        <f t="shared" si="20"/>
        <v>18773.759999999998</v>
      </c>
    </row>
    <row r="638" spans="1:11">
      <c r="A638" s="141">
        <v>638</v>
      </c>
      <c r="B638" s="142">
        <v>42731</v>
      </c>
      <c r="C638" s="149">
        <v>4.3000000000000007</v>
      </c>
      <c r="D638" s="141">
        <v>7242.1999999999962</v>
      </c>
      <c r="E638" s="141"/>
      <c r="F638" s="141"/>
      <c r="G638" s="141"/>
      <c r="H638" s="141"/>
      <c r="J638" s="141">
        <f t="shared" si="19"/>
        <v>2.1550000000000002</v>
      </c>
      <c r="K638" s="141">
        <f t="shared" si="20"/>
        <v>18825.48</v>
      </c>
    </row>
    <row r="639" spans="1:11">
      <c r="A639" s="141">
        <v>639</v>
      </c>
      <c r="B639" s="142">
        <v>42732</v>
      </c>
      <c r="C639" s="149">
        <v>3.6000000000000014</v>
      </c>
      <c r="D639" s="141">
        <v>7245.7999999999965</v>
      </c>
      <c r="E639" s="141"/>
      <c r="F639" s="141"/>
      <c r="G639" s="141"/>
      <c r="H639" s="141"/>
      <c r="J639" s="141">
        <f t="shared" si="19"/>
        <v>2.2599999999999998</v>
      </c>
      <c r="K639" s="141">
        <f t="shared" si="20"/>
        <v>18879.72</v>
      </c>
    </row>
    <row r="640" spans="1:11">
      <c r="A640" s="141">
        <v>640</v>
      </c>
      <c r="B640" s="142">
        <v>42733</v>
      </c>
      <c r="C640" s="149">
        <v>-0.89999999999999858</v>
      </c>
      <c r="D640" s="141">
        <v>7244.8999999999969</v>
      </c>
      <c r="E640" s="141"/>
      <c r="F640" s="141"/>
      <c r="G640" s="141"/>
      <c r="H640" s="141"/>
      <c r="J640" s="141">
        <f t="shared" si="19"/>
        <v>2.9350000000000001</v>
      </c>
      <c r="K640" s="141">
        <f t="shared" si="20"/>
        <v>18950.16</v>
      </c>
    </row>
    <row r="641" spans="1:11">
      <c r="A641" s="141">
        <v>641</v>
      </c>
      <c r="B641" s="142">
        <v>42734</v>
      </c>
      <c r="C641" s="149">
        <v>-3.2000000000000028</v>
      </c>
      <c r="D641" s="141">
        <v>7241.6999999999971</v>
      </c>
      <c r="E641" s="141"/>
      <c r="F641" s="141"/>
      <c r="G641" s="141"/>
      <c r="H641" s="141"/>
      <c r="J641" s="141">
        <f t="shared" si="19"/>
        <v>3.2800000000000002</v>
      </c>
      <c r="K641" s="141">
        <f t="shared" si="20"/>
        <v>19028.88</v>
      </c>
    </row>
    <row r="642" spans="1:11">
      <c r="A642" s="141">
        <v>642</v>
      </c>
      <c r="B642" s="142">
        <v>42735</v>
      </c>
      <c r="C642" s="149">
        <v>-4.7999999999999972</v>
      </c>
      <c r="D642" s="141">
        <v>7236.8999999999969</v>
      </c>
      <c r="E642" s="141"/>
      <c r="F642" s="141"/>
      <c r="G642" s="141"/>
      <c r="H642" s="141"/>
      <c r="J642" s="141">
        <f t="shared" si="19"/>
        <v>3.52</v>
      </c>
      <c r="K642" s="141">
        <f t="shared" si="20"/>
        <v>19113.36</v>
      </c>
    </row>
    <row r="643" spans="1:11">
      <c r="A643" s="141">
        <v>643</v>
      </c>
      <c r="B643" s="142">
        <v>42736</v>
      </c>
      <c r="C643" s="149">
        <v>-6.2999999999999972</v>
      </c>
      <c r="D643" s="141">
        <v>7230.5999999999967</v>
      </c>
      <c r="E643" s="141"/>
      <c r="F643" s="141"/>
      <c r="G643" s="141"/>
      <c r="H643" s="141"/>
      <c r="J643" s="141">
        <f t="shared" si="19"/>
        <v>3.7449999999999997</v>
      </c>
      <c r="K643" s="141">
        <f t="shared" si="20"/>
        <v>19203.240000000002</v>
      </c>
    </row>
    <row r="644" spans="1:11">
      <c r="A644" s="141">
        <v>644</v>
      </c>
      <c r="B644" s="142">
        <v>42737</v>
      </c>
      <c r="C644" s="149">
        <v>-3.3999999999999986</v>
      </c>
      <c r="D644" s="141">
        <v>7227.1999999999971</v>
      </c>
      <c r="E644" s="141"/>
      <c r="F644" s="141"/>
      <c r="G644" s="141"/>
      <c r="H644" s="141"/>
      <c r="J644" s="141">
        <f t="shared" si="19"/>
        <v>3.31</v>
      </c>
      <c r="K644" s="141">
        <f t="shared" si="20"/>
        <v>19282.68</v>
      </c>
    </row>
    <row r="645" spans="1:11">
      <c r="A645" s="141">
        <v>645</v>
      </c>
      <c r="B645" s="142">
        <v>42738</v>
      </c>
      <c r="C645" s="149">
        <v>-0.39999999999999858</v>
      </c>
      <c r="D645" s="141">
        <v>7226.7999999999975</v>
      </c>
      <c r="E645" s="141"/>
      <c r="F645" s="141"/>
      <c r="G645" s="141"/>
      <c r="H645" s="141"/>
      <c r="J645" s="141">
        <f t="shared" si="19"/>
        <v>2.86</v>
      </c>
      <c r="K645" s="141">
        <f t="shared" si="20"/>
        <v>19351.32</v>
      </c>
    </row>
    <row r="646" spans="1:11">
      <c r="A646" s="141">
        <v>646</v>
      </c>
      <c r="B646" s="142">
        <v>42739</v>
      </c>
      <c r="C646" s="149">
        <v>0.89999999999999858</v>
      </c>
      <c r="D646" s="141">
        <v>7227.6999999999971</v>
      </c>
      <c r="E646" s="141"/>
      <c r="F646" s="141"/>
      <c r="G646" s="141"/>
      <c r="H646" s="141"/>
      <c r="J646" s="141">
        <f t="shared" si="19"/>
        <v>2.665</v>
      </c>
      <c r="K646" s="141">
        <f t="shared" si="20"/>
        <v>19415.28</v>
      </c>
    </row>
    <row r="647" spans="1:11">
      <c r="A647" s="141">
        <v>647</v>
      </c>
      <c r="B647" s="142">
        <v>42740</v>
      </c>
      <c r="C647" s="149">
        <v>-4</v>
      </c>
      <c r="D647" s="141">
        <v>7223.6999999999971</v>
      </c>
      <c r="E647" s="141"/>
      <c r="F647" s="141"/>
      <c r="G647" s="141"/>
      <c r="H647" s="141"/>
      <c r="J647" s="141">
        <f t="shared" ref="J647:J710" si="21">J$1+(IF(J$3-$C647&gt;0,J$3-$C647,0)*J$2/30)</f>
        <v>3.4</v>
      </c>
      <c r="K647" s="141">
        <f t="shared" ref="K647:K710" si="22">K646+J647*24</f>
        <v>19496.879999999997</v>
      </c>
    </row>
    <row r="648" spans="1:11">
      <c r="A648" s="141">
        <v>648</v>
      </c>
      <c r="B648" s="142">
        <v>42741</v>
      </c>
      <c r="C648" s="149">
        <v>-8.2999999999999972</v>
      </c>
      <c r="D648" s="141">
        <v>7215.3999999999969</v>
      </c>
      <c r="E648" s="141"/>
      <c r="F648" s="141"/>
      <c r="G648" s="141"/>
      <c r="H648" s="141"/>
      <c r="J648" s="141">
        <f t="shared" si="21"/>
        <v>4.0449999999999999</v>
      </c>
      <c r="K648" s="141">
        <f t="shared" si="22"/>
        <v>19593.96</v>
      </c>
    </row>
    <row r="649" spans="1:11">
      <c r="A649" s="141">
        <v>649</v>
      </c>
      <c r="B649" s="142">
        <v>42742</v>
      </c>
      <c r="C649" s="149">
        <v>-9.6000000000000014</v>
      </c>
      <c r="D649" s="141">
        <v>7205.7999999999965</v>
      </c>
      <c r="E649" s="141"/>
      <c r="F649" s="141"/>
      <c r="G649" s="141"/>
      <c r="H649" s="141"/>
      <c r="J649" s="141">
        <f t="shared" si="21"/>
        <v>4.24</v>
      </c>
      <c r="K649" s="141">
        <f t="shared" si="22"/>
        <v>19695.719999999998</v>
      </c>
    </row>
    <row r="650" spans="1:11">
      <c r="A650" s="141">
        <v>650</v>
      </c>
      <c r="B650" s="142">
        <v>42743</v>
      </c>
      <c r="C650" s="149">
        <v>-6.2000000000000028</v>
      </c>
      <c r="D650" s="141">
        <v>7199.5999999999967</v>
      </c>
      <c r="E650" s="141"/>
      <c r="F650" s="141"/>
      <c r="G650" s="141"/>
      <c r="H650" s="141"/>
      <c r="J650" s="141">
        <f t="shared" si="21"/>
        <v>3.73</v>
      </c>
      <c r="K650" s="141">
        <f t="shared" si="22"/>
        <v>19785.239999999998</v>
      </c>
    </row>
    <row r="651" spans="1:11">
      <c r="A651" s="141">
        <v>651</v>
      </c>
      <c r="B651" s="142">
        <v>42744</v>
      </c>
      <c r="C651" s="149">
        <v>-2.5</v>
      </c>
      <c r="D651" s="141">
        <v>7197.0999999999967</v>
      </c>
      <c r="E651" s="141"/>
      <c r="F651" s="141"/>
      <c r="G651" s="141"/>
      <c r="H651" s="141"/>
      <c r="J651" s="141">
        <f t="shared" si="21"/>
        <v>3.1749999999999998</v>
      </c>
      <c r="K651" s="141">
        <f t="shared" si="22"/>
        <v>19861.439999999999</v>
      </c>
    </row>
    <row r="652" spans="1:11">
      <c r="A652" s="141">
        <v>652</v>
      </c>
      <c r="B652" s="142">
        <v>42745</v>
      </c>
      <c r="C652" s="149">
        <v>-5.3999999999999986</v>
      </c>
      <c r="D652" s="141">
        <v>7191.6999999999971</v>
      </c>
      <c r="E652" s="141"/>
      <c r="F652" s="141"/>
      <c r="G652" s="141"/>
      <c r="H652" s="141"/>
      <c r="J652" s="141">
        <f t="shared" si="21"/>
        <v>3.61</v>
      </c>
      <c r="K652" s="141">
        <f t="shared" si="22"/>
        <v>19948.079999999998</v>
      </c>
    </row>
    <row r="653" spans="1:11">
      <c r="A653" s="141">
        <v>653</v>
      </c>
      <c r="B653" s="142">
        <v>42746</v>
      </c>
      <c r="C653" s="149">
        <v>-9.2000000000000028</v>
      </c>
      <c r="D653" s="141">
        <v>7182.4999999999973</v>
      </c>
      <c r="E653" s="141"/>
      <c r="F653" s="141"/>
      <c r="G653" s="141"/>
      <c r="H653" s="141"/>
      <c r="J653" s="141">
        <f t="shared" si="21"/>
        <v>4.18</v>
      </c>
      <c r="K653" s="141">
        <f t="shared" si="22"/>
        <v>20048.399999999998</v>
      </c>
    </row>
    <row r="654" spans="1:11">
      <c r="A654" s="141">
        <v>654</v>
      </c>
      <c r="B654" s="142">
        <v>42747</v>
      </c>
      <c r="C654" s="149">
        <v>2.5</v>
      </c>
      <c r="D654" s="141">
        <v>7184.9999999999973</v>
      </c>
      <c r="E654" s="141"/>
      <c r="F654" s="141"/>
      <c r="G654" s="141"/>
      <c r="H654" s="141"/>
      <c r="J654" s="141">
        <f t="shared" si="21"/>
        <v>2.4249999999999998</v>
      </c>
      <c r="K654" s="141">
        <f t="shared" si="22"/>
        <v>20106.599999999999</v>
      </c>
    </row>
    <row r="655" spans="1:11">
      <c r="A655" s="141">
        <v>655</v>
      </c>
      <c r="B655" s="142">
        <v>42748</v>
      </c>
      <c r="C655" s="149">
        <v>2.1999999999999993</v>
      </c>
      <c r="D655" s="141">
        <v>7187.1999999999971</v>
      </c>
      <c r="E655" s="141"/>
      <c r="F655" s="141"/>
      <c r="G655" s="141"/>
      <c r="H655" s="141"/>
      <c r="J655" s="141">
        <f t="shared" si="21"/>
        <v>2.4700000000000002</v>
      </c>
      <c r="K655" s="141">
        <f t="shared" si="22"/>
        <v>20165.879999999997</v>
      </c>
    </row>
    <row r="656" spans="1:11">
      <c r="A656" s="141">
        <v>656</v>
      </c>
      <c r="B656" s="142">
        <v>42749</v>
      </c>
      <c r="C656" s="149">
        <v>0.10000000000000142</v>
      </c>
      <c r="D656" s="141">
        <v>7187.2999999999975</v>
      </c>
      <c r="E656" s="141"/>
      <c r="F656" s="141"/>
      <c r="G656" s="141"/>
      <c r="H656" s="141"/>
      <c r="J656" s="141">
        <f t="shared" si="21"/>
        <v>2.7849999999999997</v>
      </c>
      <c r="K656" s="141">
        <f t="shared" si="22"/>
        <v>20232.719999999998</v>
      </c>
    </row>
    <row r="657" spans="1:11">
      <c r="A657" s="141">
        <v>657</v>
      </c>
      <c r="B657" s="142">
        <v>42750</v>
      </c>
      <c r="C657" s="149">
        <v>-0.39999999999999858</v>
      </c>
      <c r="D657" s="141">
        <v>7186.8999999999978</v>
      </c>
      <c r="E657" s="141"/>
      <c r="F657" s="141"/>
      <c r="G657" s="141"/>
      <c r="H657" s="141"/>
      <c r="J657" s="141">
        <f t="shared" si="21"/>
        <v>2.86</v>
      </c>
      <c r="K657" s="141">
        <f t="shared" si="22"/>
        <v>20301.359999999997</v>
      </c>
    </row>
    <row r="658" spans="1:11">
      <c r="A658" s="141">
        <v>658</v>
      </c>
      <c r="B658" s="142">
        <v>42751</v>
      </c>
      <c r="C658" s="149">
        <v>-2.7999999999999972</v>
      </c>
      <c r="D658" s="141">
        <v>7184.0999999999976</v>
      </c>
      <c r="E658" s="141"/>
      <c r="F658" s="141"/>
      <c r="G658" s="141"/>
      <c r="H658" s="141"/>
      <c r="J658" s="141">
        <f t="shared" si="21"/>
        <v>3.2199999999999998</v>
      </c>
      <c r="K658" s="141">
        <f t="shared" si="22"/>
        <v>20378.639999999996</v>
      </c>
    </row>
    <row r="659" spans="1:11">
      <c r="A659" s="141">
        <v>659</v>
      </c>
      <c r="B659" s="142">
        <v>42752</v>
      </c>
      <c r="C659" s="149">
        <v>-4</v>
      </c>
      <c r="D659" s="141">
        <v>7180.0999999999976</v>
      </c>
      <c r="E659" s="141"/>
      <c r="F659" s="141"/>
      <c r="G659" s="141"/>
      <c r="H659" s="141"/>
      <c r="J659" s="141">
        <f t="shared" si="21"/>
        <v>3.4</v>
      </c>
      <c r="K659" s="141">
        <f t="shared" si="22"/>
        <v>20460.239999999994</v>
      </c>
    </row>
    <row r="660" spans="1:11">
      <c r="A660" s="141">
        <v>660</v>
      </c>
      <c r="B660" s="142">
        <v>42753</v>
      </c>
      <c r="C660" s="149">
        <v>-6.2000000000000028</v>
      </c>
      <c r="D660" s="141">
        <v>7173.8999999999978</v>
      </c>
      <c r="E660" s="141"/>
      <c r="F660" s="141"/>
      <c r="G660" s="141"/>
      <c r="H660" s="141"/>
      <c r="J660" s="141">
        <f t="shared" si="21"/>
        <v>3.73</v>
      </c>
      <c r="K660" s="141">
        <f t="shared" si="22"/>
        <v>20549.759999999995</v>
      </c>
    </row>
    <row r="661" spans="1:11">
      <c r="A661" s="141">
        <v>661</v>
      </c>
      <c r="B661" s="142">
        <v>42754</v>
      </c>
      <c r="C661" s="149">
        <v>-10.799999999999997</v>
      </c>
      <c r="D661" s="141">
        <v>7163.0999999999976</v>
      </c>
      <c r="E661" s="141"/>
      <c r="F661" s="141"/>
      <c r="G661" s="141"/>
      <c r="H661" s="141"/>
      <c r="J661" s="141">
        <f t="shared" si="21"/>
        <v>4.42</v>
      </c>
      <c r="K661" s="141">
        <f t="shared" si="22"/>
        <v>20655.839999999997</v>
      </c>
    </row>
    <row r="662" spans="1:11">
      <c r="A662" s="141">
        <v>662</v>
      </c>
      <c r="B662" s="142">
        <v>42755</v>
      </c>
      <c r="C662" s="149">
        <v>-9.7000000000000028</v>
      </c>
      <c r="D662" s="141">
        <v>7153.3999999999978</v>
      </c>
      <c r="E662" s="141"/>
      <c r="F662" s="141"/>
      <c r="G662" s="141"/>
      <c r="H662" s="141"/>
      <c r="J662" s="141">
        <f t="shared" si="21"/>
        <v>4.2549999999999999</v>
      </c>
      <c r="K662" s="141">
        <f t="shared" si="22"/>
        <v>20757.959999999995</v>
      </c>
    </row>
    <row r="663" spans="1:11">
      <c r="A663" s="141">
        <v>663</v>
      </c>
      <c r="B663" s="142">
        <v>42756</v>
      </c>
      <c r="C663" s="149">
        <v>-6.6000000000000014</v>
      </c>
      <c r="D663" s="141">
        <v>7146.7999999999975</v>
      </c>
      <c r="E663" s="141"/>
      <c r="F663" s="141"/>
      <c r="G663" s="141"/>
      <c r="H663" s="141"/>
      <c r="J663" s="141">
        <f t="shared" si="21"/>
        <v>3.79</v>
      </c>
      <c r="K663" s="141">
        <f t="shared" si="22"/>
        <v>20848.919999999995</v>
      </c>
    </row>
    <row r="664" spans="1:11">
      <c r="A664" s="141">
        <v>664</v>
      </c>
      <c r="B664" s="142">
        <v>42757</v>
      </c>
      <c r="C664" s="149">
        <v>-6</v>
      </c>
      <c r="D664" s="141">
        <v>7140.7999999999975</v>
      </c>
      <c r="E664" s="141"/>
      <c r="F664" s="141"/>
      <c r="G664" s="141"/>
      <c r="H664" s="141"/>
      <c r="J664" s="141">
        <f t="shared" si="21"/>
        <v>3.7</v>
      </c>
      <c r="K664" s="141">
        <f t="shared" si="22"/>
        <v>20937.719999999994</v>
      </c>
    </row>
    <row r="665" spans="1:11">
      <c r="A665" s="141">
        <v>665</v>
      </c>
      <c r="B665" s="142">
        <v>42758</v>
      </c>
      <c r="C665" s="149">
        <v>-6.2999999999999972</v>
      </c>
      <c r="D665" s="141">
        <v>7134.4999999999973</v>
      </c>
      <c r="E665" s="141"/>
      <c r="F665" s="141"/>
      <c r="G665" s="141"/>
      <c r="H665" s="141"/>
      <c r="J665" s="141">
        <f t="shared" si="21"/>
        <v>3.7449999999999997</v>
      </c>
      <c r="K665" s="141">
        <f t="shared" si="22"/>
        <v>21027.599999999995</v>
      </c>
    </row>
    <row r="666" spans="1:11">
      <c r="A666" s="141">
        <v>666</v>
      </c>
      <c r="B666" s="142">
        <v>42759</v>
      </c>
      <c r="C666" s="149">
        <v>-5.7000000000000028</v>
      </c>
      <c r="D666" s="141">
        <v>7128.7999999999975</v>
      </c>
      <c r="E666" s="141"/>
      <c r="F666" s="141"/>
      <c r="G666" s="141"/>
      <c r="H666" s="141"/>
      <c r="J666" s="141">
        <f t="shared" si="21"/>
        <v>3.6550000000000002</v>
      </c>
      <c r="K666" s="141">
        <f t="shared" si="22"/>
        <v>21115.319999999996</v>
      </c>
    </row>
    <row r="667" spans="1:11">
      <c r="A667" s="141">
        <v>667</v>
      </c>
      <c r="B667" s="142">
        <v>42760</v>
      </c>
      <c r="C667" s="149">
        <v>-2.7999999999999972</v>
      </c>
      <c r="D667" s="141">
        <v>7125.9999999999973</v>
      </c>
      <c r="E667" s="141"/>
      <c r="F667" s="141"/>
      <c r="G667" s="141"/>
      <c r="H667" s="141"/>
      <c r="J667" s="141">
        <f t="shared" si="21"/>
        <v>3.2199999999999998</v>
      </c>
      <c r="K667" s="141">
        <f t="shared" si="22"/>
        <v>21192.599999999995</v>
      </c>
    </row>
    <row r="668" spans="1:11">
      <c r="A668" s="141">
        <v>668</v>
      </c>
      <c r="B668" s="142">
        <v>42761</v>
      </c>
      <c r="C668" s="149">
        <v>-2.3999999999999986</v>
      </c>
      <c r="D668" s="141">
        <v>7123.5999999999976</v>
      </c>
      <c r="E668" s="141"/>
      <c r="F668" s="141"/>
      <c r="G668" s="141"/>
      <c r="H668" s="141"/>
      <c r="J668" s="141">
        <f t="shared" si="21"/>
        <v>3.1599999999999997</v>
      </c>
      <c r="K668" s="141">
        <f t="shared" si="22"/>
        <v>21268.439999999995</v>
      </c>
    </row>
    <row r="669" spans="1:11">
      <c r="A669" s="141">
        <v>669</v>
      </c>
      <c r="B669" s="142">
        <v>42762</v>
      </c>
      <c r="C669" s="149">
        <v>-5.6000000000000014</v>
      </c>
      <c r="D669" s="141">
        <v>7117.9999999999973</v>
      </c>
      <c r="E669" s="141"/>
      <c r="F669" s="141"/>
      <c r="G669" s="141"/>
      <c r="H669" s="141"/>
      <c r="J669" s="141">
        <f t="shared" si="21"/>
        <v>3.64</v>
      </c>
      <c r="K669" s="141">
        <f t="shared" si="22"/>
        <v>21355.799999999996</v>
      </c>
    </row>
    <row r="670" spans="1:11">
      <c r="A670" s="141">
        <v>670</v>
      </c>
      <c r="B670" s="142">
        <v>42763</v>
      </c>
      <c r="C670" s="149">
        <v>-5.7999999999999972</v>
      </c>
      <c r="D670" s="141">
        <v>7112.1999999999971</v>
      </c>
      <c r="E670" s="141"/>
      <c r="F670" s="141"/>
      <c r="G670" s="141"/>
      <c r="H670" s="141"/>
      <c r="J670" s="141">
        <f t="shared" si="21"/>
        <v>3.67</v>
      </c>
      <c r="K670" s="141">
        <f t="shared" si="22"/>
        <v>21443.879999999997</v>
      </c>
    </row>
    <row r="671" spans="1:11">
      <c r="A671" s="141">
        <v>671</v>
      </c>
      <c r="B671" s="142">
        <v>42764</v>
      </c>
      <c r="C671" s="149">
        <v>-7.2999999999999972</v>
      </c>
      <c r="D671" s="141">
        <v>7104.8999999999969</v>
      </c>
      <c r="E671" s="141"/>
      <c r="F671" s="141"/>
      <c r="G671" s="141"/>
      <c r="H671" s="141"/>
      <c r="J671" s="141">
        <f t="shared" si="21"/>
        <v>3.895</v>
      </c>
      <c r="K671" s="141">
        <f t="shared" si="22"/>
        <v>21537.359999999997</v>
      </c>
    </row>
    <row r="672" spans="1:11">
      <c r="A672" s="141">
        <v>672</v>
      </c>
      <c r="B672" s="142">
        <v>42765</v>
      </c>
      <c r="C672" s="149">
        <v>-7.6000000000000014</v>
      </c>
      <c r="D672" s="141">
        <v>7097.2999999999965</v>
      </c>
      <c r="E672" s="141"/>
      <c r="F672" s="141"/>
      <c r="G672" s="141"/>
      <c r="H672" s="141"/>
      <c r="J672" s="141">
        <f t="shared" si="21"/>
        <v>3.94</v>
      </c>
      <c r="K672" s="141">
        <f t="shared" si="22"/>
        <v>21631.919999999998</v>
      </c>
    </row>
    <row r="673" spans="1:11">
      <c r="A673" s="141">
        <v>673</v>
      </c>
      <c r="B673" s="142">
        <v>42766</v>
      </c>
      <c r="C673" s="149">
        <v>-5</v>
      </c>
      <c r="D673" s="141">
        <v>7092.2999999999965</v>
      </c>
      <c r="E673" s="141"/>
      <c r="F673" s="141"/>
      <c r="G673" s="141"/>
      <c r="H673" s="141"/>
      <c r="J673" s="141">
        <f t="shared" si="21"/>
        <v>3.55</v>
      </c>
      <c r="K673" s="141">
        <f t="shared" si="22"/>
        <v>21717.119999999999</v>
      </c>
    </row>
    <row r="674" spans="1:11">
      <c r="A674" s="141">
        <v>674</v>
      </c>
      <c r="B674" s="142">
        <v>42767</v>
      </c>
      <c r="C674" s="149">
        <v>-4.1000000000000014</v>
      </c>
      <c r="D674" s="141">
        <v>7088.1999999999962</v>
      </c>
      <c r="E674" s="141"/>
      <c r="F674" s="141"/>
      <c r="G674" s="141"/>
      <c r="H674" s="141"/>
      <c r="J674" s="141">
        <f t="shared" si="21"/>
        <v>3.415</v>
      </c>
      <c r="K674" s="141">
        <f t="shared" si="22"/>
        <v>21799.079999999998</v>
      </c>
    </row>
    <row r="675" spans="1:11">
      <c r="A675" s="141">
        <v>675</v>
      </c>
      <c r="B675" s="142">
        <v>42768</v>
      </c>
      <c r="C675" s="149">
        <v>-3.2000000000000028</v>
      </c>
      <c r="D675" s="141">
        <v>7084.9999999999964</v>
      </c>
      <c r="E675" s="141"/>
      <c r="F675" s="141"/>
      <c r="G675" s="141"/>
      <c r="H675" s="141"/>
      <c r="J675" s="141">
        <f t="shared" si="21"/>
        <v>3.2800000000000002</v>
      </c>
      <c r="K675" s="141">
        <f t="shared" si="22"/>
        <v>21877.8</v>
      </c>
    </row>
    <row r="676" spans="1:11">
      <c r="A676" s="141">
        <v>676</v>
      </c>
      <c r="B676" s="142">
        <v>42769</v>
      </c>
      <c r="C676" s="149">
        <v>-1.3000000000000007</v>
      </c>
      <c r="D676" s="141">
        <v>7083.6999999999962</v>
      </c>
      <c r="E676" s="141"/>
      <c r="F676" s="141"/>
      <c r="G676" s="141"/>
      <c r="H676" s="141"/>
      <c r="J676" s="141">
        <f t="shared" si="21"/>
        <v>2.9950000000000001</v>
      </c>
      <c r="K676" s="141">
        <f t="shared" si="22"/>
        <v>21949.68</v>
      </c>
    </row>
    <row r="677" spans="1:11">
      <c r="A677" s="141">
        <v>677</v>
      </c>
      <c r="B677" s="142">
        <v>42770</v>
      </c>
      <c r="C677" s="149">
        <v>0.39999999999999858</v>
      </c>
      <c r="D677" s="141">
        <v>7084.0999999999958</v>
      </c>
      <c r="E677" s="141"/>
      <c r="F677" s="141"/>
      <c r="G677" s="141"/>
      <c r="H677" s="141"/>
      <c r="J677" s="141">
        <f t="shared" si="21"/>
        <v>2.74</v>
      </c>
      <c r="K677" s="141">
        <f t="shared" si="22"/>
        <v>22015.439999999999</v>
      </c>
    </row>
    <row r="678" spans="1:11">
      <c r="A678" s="141">
        <v>678</v>
      </c>
      <c r="B678" s="142">
        <v>42771</v>
      </c>
      <c r="C678" s="149">
        <v>2.6999999999999993</v>
      </c>
      <c r="D678" s="141">
        <v>7086.7999999999956</v>
      </c>
      <c r="E678" s="141"/>
      <c r="F678" s="141"/>
      <c r="G678" s="141"/>
      <c r="H678" s="141"/>
      <c r="J678" s="141">
        <f t="shared" si="21"/>
        <v>2.3950000000000005</v>
      </c>
      <c r="K678" s="141">
        <f t="shared" si="22"/>
        <v>22072.92</v>
      </c>
    </row>
    <row r="679" spans="1:11">
      <c r="A679" s="141">
        <v>679</v>
      </c>
      <c r="B679" s="142">
        <v>42772</v>
      </c>
      <c r="C679" s="149">
        <v>0.80000000000000071</v>
      </c>
      <c r="D679" s="141">
        <v>7087.5999999999958</v>
      </c>
      <c r="E679" s="141"/>
      <c r="F679" s="141"/>
      <c r="G679" s="141"/>
      <c r="H679" s="141"/>
      <c r="J679" s="141">
        <f t="shared" si="21"/>
        <v>2.6799999999999997</v>
      </c>
      <c r="K679" s="141">
        <f t="shared" si="22"/>
        <v>22137.239999999998</v>
      </c>
    </row>
    <row r="680" spans="1:11">
      <c r="A680" s="141">
        <v>680</v>
      </c>
      <c r="B680" s="142">
        <v>42773</v>
      </c>
      <c r="C680" s="149">
        <v>-1.3999999999999986</v>
      </c>
      <c r="D680" s="141">
        <v>7086.1999999999962</v>
      </c>
      <c r="E680" s="141"/>
      <c r="F680" s="141"/>
      <c r="G680" s="141"/>
      <c r="H680" s="141"/>
      <c r="J680" s="141">
        <f t="shared" si="21"/>
        <v>3.01</v>
      </c>
      <c r="K680" s="141">
        <f t="shared" si="22"/>
        <v>22209.48</v>
      </c>
    </row>
    <row r="681" spans="1:11">
      <c r="A681" s="141">
        <v>681</v>
      </c>
      <c r="B681" s="142">
        <v>42774</v>
      </c>
      <c r="C681" s="149">
        <v>-3.2999999999999972</v>
      </c>
      <c r="D681" s="141">
        <v>7082.899999999996</v>
      </c>
      <c r="E681" s="141"/>
      <c r="F681" s="141"/>
      <c r="G681" s="141"/>
      <c r="H681" s="141"/>
      <c r="J681" s="141">
        <f t="shared" si="21"/>
        <v>3.2949999999999999</v>
      </c>
      <c r="K681" s="141">
        <f t="shared" si="22"/>
        <v>22288.560000000001</v>
      </c>
    </row>
    <row r="682" spans="1:11">
      <c r="A682" s="141">
        <v>682</v>
      </c>
      <c r="B682" s="142">
        <v>42775</v>
      </c>
      <c r="C682" s="149">
        <v>-3.8999999999999986</v>
      </c>
      <c r="D682" s="141">
        <v>7078.9999999999964</v>
      </c>
      <c r="E682" s="141"/>
      <c r="F682" s="141"/>
      <c r="G682" s="141"/>
      <c r="H682" s="141"/>
      <c r="J682" s="141">
        <f t="shared" si="21"/>
        <v>3.3849999999999998</v>
      </c>
      <c r="K682" s="141">
        <f t="shared" si="22"/>
        <v>22369.800000000003</v>
      </c>
    </row>
    <row r="683" spans="1:11">
      <c r="A683" s="141">
        <v>683</v>
      </c>
      <c r="B683" s="142">
        <v>42776</v>
      </c>
      <c r="C683" s="149">
        <v>-1.3999999999999986</v>
      </c>
      <c r="D683" s="141">
        <v>7077.5999999999967</v>
      </c>
      <c r="E683" s="141"/>
      <c r="F683" s="141"/>
      <c r="G683" s="141"/>
      <c r="H683" s="141"/>
      <c r="J683" s="141">
        <f t="shared" si="21"/>
        <v>3.01</v>
      </c>
      <c r="K683" s="141">
        <f t="shared" si="22"/>
        <v>22442.040000000005</v>
      </c>
    </row>
    <row r="684" spans="1:11">
      <c r="A684" s="141">
        <v>684</v>
      </c>
      <c r="B684" s="142">
        <v>42777</v>
      </c>
      <c r="C684" s="149">
        <v>0.5</v>
      </c>
      <c r="D684" s="141">
        <v>7078.0999999999967</v>
      </c>
      <c r="E684" s="141"/>
      <c r="F684" s="141"/>
      <c r="G684" s="141"/>
      <c r="H684" s="141"/>
      <c r="J684" s="141">
        <f t="shared" si="21"/>
        <v>2.7250000000000001</v>
      </c>
      <c r="K684" s="141">
        <f t="shared" si="22"/>
        <v>22507.440000000006</v>
      </c>
    </row>
    <row r="685" spans="1:11">
      <c r="A685" s="141">
        <v>685</v>
      </c>
      <c r="B685" s="142">
        <v>42778</v>
      </c>
      <c r="C685" s="149">
        <v>0.80000000000000071</v>
      </c>
      <c r="D685" s="141">
        <v>7078.8999999999969</v>
      </c>
      <c r="E685" s="141"/>
      <c r="F685" s="141"/>
      <c r="G685" s="141"/>
      <c r="H685" s="141"/>
      <c r="J685" s="141">
        <f t="shared" si="21"/>
        <v>2.6799999999999997</v>
      </c>
      <c r="K685" s="141">
        <f t="shared" si="22"/>
        <v>22571.760000000006</v>
      </c>
    </row>
    <row r="686" spans="1:11">
      <c r="A686" s="141">
        <v>686</v>
      </c>
      <c r="B686" s="142">
        <v>42779</v>
      </c>
      <c r="C686" s="149">
        <v>-1</v>
      </c>
      <c r="D686" s="141">
        <v>7077.8999999999969</v>
      </c>
      <c r="E686" s="141"/>
      <c r="F686" s="141"/>
      <c r="G686" s="141"/>
      <c r="H686" s="141"/>
      <c r="J686" s="141">
        <f t="shared" si="21"/>
        <v>2.95</v>
      </c>
      <c r="K686" s="141">
        <f t="shared" si="22"/>
        <v>22642.560000000005</v>
      </c>
    </row>
    <row r="687" spans="1:11">
      <c r="A687" s="141">
        <v>687</v>
      </c>
      <c r="B687" s="142">
        <v>42780</v>
      </c>
      <c r="C687" s="149">
        <v>-1</v>
      </c>
      <c r="D687" s="141">
        <v>7076.8999999999969</v>
      </c>
      <c r="E687" s="141"/>
      <c r="F687" s="141"/>
      <c r="G687" s="141"/>
      <c r="H687" s="141"/>
      <c r="J687" s="141">
        <f t="shared" si="21"/>
        <v>2.95</v>
      </c>
      <c r="K687" s="141">
        <f t="shared" si="22"/>
        <v>22713.360000000004</v>
      </c>
    </row>
    <row r="688" spans="1:11">
      <c r="A688" s="141">
        <v>688</v>
      </c>
      <c r="B688" s="142">
        <v>42781</v>
      </c>
      <c r="C688" s="149">
        <v>0.19999999999999929</v>
      </c>
      <c r="D688" s="141">
        <v>7077.0999999999967</v>
      </c>
      <c r="E688" s="141"/>
      <c r="F688" s="141"/>
      <c r="G688" s="141"/>
      <c r="H688" s="141"/>
      <c r="J688" s="141">
        <f t="shared" si="21"/>
        <v>2.7700000000000005</v>
      </c>
      <c r="K688" s="141">
        <f t="shared" si="22"/>
        <v>22779.840000000004</v>
      </c>
    </row>
    <row r="689" spans="1:11">
      <c r="A689" s="141">
        <v>689</v>
      </c>
      <c r="B689" s="142">
        <v>42782</v>
      </c>
      <c r="C689" s="149">
        <v>1.6000000000000014</v>
      </c>
      <c r="D689" s="141">
        <v>7078.6999999999971</v>
      </c>
      <c r="E689" s="141"/>
      <c r="F689" s="141"/>
      <c r="G689" s="141"/>
      <c r="H689" s="141"/>
      <c r="J689" s="141">
        <f t="shared" si="21"/>
        <v>2.56</v>
      </c>
      <c r="K689" s="141">
        <f t="shared" si="22"/>
        <v>22841.280000000002</v>
      </c>
    </row>
    <row r="690" spans="1:11">
      <c r="A690" s="141">
        <v>690</v>
      </c>
      <c r="B690" s="142">
        <v>42783</v>
      </c>
      <c r="C690" s="149">
        <v>4</v>
      </c>
      <c r="D690" s="141">
        <v>7082.6999999999971</v>
      </c>
      <c r="E690" s="141"/>
      <c r="F690" s="141"/>
      <c r="G690" s="141"/>
      <c r="H690" s="141"/>
      <c r="J690" s="141">
        <f t="shared" si="21"/>
        <v>2.2000000000000002</v>
      </c>
      <c r="K690" s="141">
        <f t="shared" si="22"/>
        <v>22894.080000000002</v>
      </c>
    </row>
    <row r="691" spans="1:11">
      <c r="A691" s="141">
        <v>691</v>
      </c>
      <c r="B691" s="142">
        <v>42784</v>
      </c>
      <c r="C691" s="149">
        <v>4.1999999999999993</v>
      </c>
      <c r="D691" s="141">
        <v>7086.8999999999969</v>
      </c>
      <c r="E691" s="141"/>
      <c r="F691" s="141"/>
      <c r="G691" s="141"/>
      <c r="H691" s="141"/>
      <c r="J691" s="141">
        <f t="shared" si="21"/>
        <v>2.17</v>
      </c>
      <c r="K691" s="141">
        <f t="shared" si="22"/>
        <v>22946.160000000003</v>
      </c>
    </row>
    <row r="692" spans="1:11">
      <c r="A692" s="141">
        <v>692</v>
      </c>
      <c r="B692" s="142">
        <v>42785</v>
      </c>
      <c r="C692" s="149">
        <v>3.3000000000000007</v>
      </c>
      <c r="D692" s="141">
        <v>7090.1999999999971</v>
      </c>
      <c r="E692" s="141"/>
      <c r="F692" s="141"/>
      <c r="G692" s="141"/>
      <c r="H692" s="141"/>
      <c r="J692" s="141">
        <f t="shared" si="21"/>
        <v>2.3050000000000002</v>
      </c>
      <c r="K692" s="141">
        <f t="shared" si="22"/>
        <v>23001.480000000003</v>
      </c>
    </row>
    <row r="693" spans="1:11">
      <c r="A693" s="141">
        <v>693</v>
      </c>
      <c r="B693" s="142">
        <v>42786</v>
      </c>
      <c r="C693" s="149">
        <v>5.1999999999999993</v>
      </c>
      <c r="D693" s="141">
        <v>7095.3999999999969</v>
      </c>
      <c r="E693" s="141"/>
      <c r="F693" s="141"/>
      <c r="G693" s="141"/>
      <c r="H693" s="141"/>
      <c r="J693" s="141">
        <f t="shared" si="21"/>
        <v>2.02</v>
      </c>
      <c r="K693" s="141">
        <f t="shared" si="22"/>
        <v>23049.960000000003</v>
      </c>
    </row>
    <row r="694" spans="1:11">
      <c r="A694" s="141">
        <v>694</v>
      </c>
      <c r="B694" s="142">
        <v>42787</v>
      </c>
      <c r="C694" s="149">
        <v>7.8999999999999986</v>
      </c>
      <c r="D694" s="141">
        <v>7103.2999999999965</v>
      </c>
      <c r="E694" s="141"/>
      <c r="F694" s="141"/>
      <c r="G694" s="141"/>
      <c r="H694" s="141"/>
      <c r="J694" s="141">
        <f t="shared" si="21"/>
        <v>1.615</v>
      </c>
      <c r="K694" s="141">
        <f t="shared" si="22"/>
        <v>23088.720000000001</v>
      </c>
    </row>
    <row r="695" spans="1:11">
      <c r="A695" s="141">
        <v>695</v>
      </c>
      <c r="B695" s="142">
        <v>42788</v>
      </c>
      <c r="C695" s="149">
        <v>8.5</v>
      </c>
      <c r="D695" s="141">
        <v>7111.7999999999965</v>
      </c>
      <c r="E695" s="141"/>
      <c r="F695" s="141"/>
      <c r="G695" s="141"/>
      <c r="H695" s="141"/>
      <c r="J695" s="141">
        <f t="shared" si="21"/>
        <v>1.5249999999999999</v>
      </c>
      <c r="K695" s="141">
        <f t="shared" si="22"/>
        <v>23125.32</v>
      </c>
    </row>
    <row r="696" spans="1:11">
      <c r="A696" s="141">
        <v>696</v>
      </c>
      <c r="B696" s="142">
        <v>42789</v>
      </c>
      <c r="C696" s="149">
        <v>10</v>
      </c>
      <c r="D696" s="141">
        <v>7121.7999999999965</v>
      </c>
      <c r="E696" s="141"/>
      <c r="F696" s="141"/>
      <c r="G696" s="141"/>
      <c r="H696" s="141"/>
      <c r="J696" s="141">
        <f t="shared" si="21"/>
        <v>1.3</v>
      </c>
      <c r="K696" s="141">
        <f t="shared" si="22"/>
        <v>23156.52</v>
      </c>
    </row>
    <row r="697" spans="1:11">
      <c r="A697" s="141">
        <v>697</v>
      </c>
      <c r="B697" s="142">
        <v>42790</v>
      </c>
      <c r="C697" s="149">
        <v>4.6999999999999993</v>
      </c>
      <c r="D697" s="141">
        <v>7126.4999999999964</v>
      </c>
      <c r="E697" s="141"/>
      <c r="F697" s="141"/>
      <c r="G697" s="141"/>
      <c r="H697" s="141"/>
      <c r="J697" s="141">
        <f t="shared" si="21"/>
        <v>2.0949999999999998</v>
      </c>
      <c r="K697" s="141">
        <f t="shared" si="22"/>
        <v>23206.799999999999</v>
      </c>
    </row>
    <row r="698" spans="1:11">
      <c r="A698" s="141">
        <v>698</v>
      </c>
      <c r="B698" s="142">
        <v>42791</v>
      </c>
      <c r="C698" s="149">
        <v>2.6999999999999993</v>
      </c>
      <c r="D698" s="141">
        <v>7129.1999999999962</v>
      </c>
      <c r="E698" s="141"/>
      <c r="F698" s="141"/>
      <c r="G698" s="141"/>
      <c r="H698" s="141"/>
      <c r="J698" s="141">
        <f t="shared" si="21"/>
        <v>2.3950000000000005</v>
      </c>
      <c r="K698" s="141">
        <f t="shared" si="22"/>
        <v>23264.28</v>
      </c>
    </row>
    <row r="699" spans="1:11">
      <c r="A699" s="141">
        <v>699</v>
      </c>
      <c r="B699" s="142">
        <v>42792</v>
      </c>
      <c r="C699" s="149">
        <v>5.3999999999999986</v>
      </c>
      <c r="D699" s="141">
        <v>7134.5999999999958</v>
      </c>
      <c r="E699" s="141"/>
      <c r="F699" s="141"/>
      <c r="G699" s="141"/>
      <c r="H699" s="141"/>
      <c r="J699" s="141">
        <f t="shared" si="21"/>
        <v>1.99</v>
      </c>
      <c r="K699" s="141">
        <f t="shared" si="22"/>
        <v>23312.039999999997</v>
      </c>
    </row>
    <row r="700" spans="1:11">
      <c r="A700" s="141">
        <v>700</v>
      </c>
      <c r="B700" s="142">
        <v>42793</v>
      </c>
      <c r="C700" s="149">
        <v>6.8000000000000007</v>
      </c>
      <c r="D700" s="141">
        <v>7141.399999999996</v>
      </c>
      <c r="E700" s="141"/>
      <c r="F700" s="141"/>
      <c r="G700" s="141"/>
      <c r="H700" s="141"/>
      <c r="J700" s="141">
        <f t="shared" si="21"/>
        <v>1.78</v>
      </c>
      <c r="K700" s="141">
        <f t="shared" si="22"/>
        <v>23354.76</v>
      </c>
    </row>
    <row r="701" spans="1:11">
      <c r="A701" s="141">
        <v>701</v>
      </c>
      <c r="B701" s="142">
        <v>42794</v>
      </c>
      <c r="C701" s="149">
        <v>5.8999999999999986</v>
      </c>
      <c r="D701" s="141">
        <v>7147.2999999999956</v>
      </c>
      <c r="E701" s="141"/>
      <c r="F701" s="141"/>
      <c r="G701" s="141"/>
      <c r="H701" s="141"/>
      <c r="J701" s="141">
        <f t="shared" si="21"/>
        <v>1.915</v>
      </c>
      <c r="K701" s="141">
        <f t="shared" si="22"/>
        <v>23400.719999999998</v>
      </c>
    </row>
    <row r="702" spans="1:11">
      <c r="A702" s="141">
        <v>702</v>
      </c>
      <c r="B702" s="142">
        <v>42795</v>
      </c>
      <c r="C702" s="149">
        <v>5.1999999999999993</v>
      </c>
      <c r="D702" s="141">
        <v>7152.4999999999955</v>
      </c>
      <c r="E702" s="141"/>
      <c r="F702" s="141"/>
      <c r="G702" s="141"/>
      <c r="H702" s="141"/>
      <c r="J702" s="141">
        <f t="shared" si="21"/>
        <v>2.02</v>
      </c>
      <c r="K702" s="141">
        <f t="shared" si="22"/>
        <v>23449.199999999997</v>
      </c>
    </row>
    <row r="703" spans="1:11">
      <c r="A703" s="141">
        <v>703</v>
      </c>
      <c r="B703" s="142">
        <v>42796</v>
      </c>
      <c r="C703" s="149">
        <v>7.5</v>
      </c>
      <c r="D703" s="141">
        <v>7159.9999999999955</v>
      </c>
      <c r="E703" s="141"/>
      <c r="F703" s="141"/>
      <c r="G703" s="141"/>
      <c r="H703" s="141"/>
      <c r="J703" s="141">
        <f t="shared" si="21"/>
        <v>1.675</v>
      </c>
      <c r="K703" s="141">
        <f t="shared" si="22"/>
        <v>23489.399999999998</v>
      </c>
    </row>
    <row r="704" spans="1:11">
      <c r="A704" s="141">
        <v>704</v>
      </c>
      <c r="B704" s="142">
        <v>42797</v>
      </c>
      <c r="C704" s="149">
        <v>5.6000000000000014</v>
      </c>
      <c r="D704" s="141">
        <v>7165.5999999999958</v>
      </c>
      <c r="E704" s="141"/>
      <c r="F704" s="141"/>
      <c r="G704" s="141"/>
      <c r="H704" s="141"/>
      <c r="J704" s="141">
        <f t="shared" si="21"/>
        <v>1.96</v>
      </c>
      <c r="K704" s="141">
        <f t="shared" si="22"/>
        <v>23536.44</v>
      </c>
    </row>
    <row r="705" spans="1:11">
      <c r="A705" s="141">
        <v>705</v>
      </c>
      <c r="B705" s="142">
        <v>42798</v>
      </c>
      <c r="C705" s="149">
        <v>7.6000000000000014</v>
      </c>
      <c r="D705" s="141">
        <v>7173.1999999999962</v>
      </c>
      <c r="E705" s="141"/>
      <c r="F705" s="141"/>
      <c r="G705" s="141"/>
      <c r="H705" s="141"/>
      <c r="J705" s="141">
        <f t="shared" si="21"/>
        <v>1.66</v>
      </c>
      <c r="K705" s="141">
        <f t="shared" si="22"/>
        <v>23576.28</v>
      </c>
    </row>
    <row r="706" spans="1:11">
      <c r="A706" s="141">
        <v>706</v>
      </c>
      <c r="B706" s="142">
        <v>42799</v>
      </c>
      <c r="C706" s="149">
        <v>8.6999999999999993</v>
      </c>
      <c r="D706" s="141">
        <v>7181.899999999996</v>
      </c>
      <c r="E706" s="141"/>
      <c r="F706" s="141"/>
      <c r="G706" s="141"/>
      <c r="H706" s="141"/>
      <c r="J706" s="141">
        <f t="shared" si="21"/>
        <v>1.4950000000000001</v>
      </c>
      <c r="K706" s="141">
        <f t="shared" si="22"/>
        <v>23612.16</v>
      </c>
    </row>
    <row r="707" spans="1:11">
      <c r="A707" s="141">
        <v>707</v>
      </c>
      <c r="B707" s="142">
        <v>42800</v>
      </c>
      <c r="C707" s="149">
        <v>5.1999999999999993</v>
      </c>
      <c r="D707" s="141">
        <v>7187.0999999999958</v>
      </c>
      <c r="E707" s="141"/>
      <c r="F707" s="141"/>
      <c r="G707" s="141"/>
      <c r="H707" s="141"/>
      <c r="J707" s="141">
        <f t="shared" si="21"/>
        <v>2.02</v>
      </c>
      <c r="K707" s="141">
        <f t="shared" si="22"/>
        <v>23660.639999999999</v>
      </c>
    </row>
    <row r="708" spans="1:11">
      <c r="A708" s="141">
        <v>708</v>
      </c>
      <c r="B708" s="142">
        <v>42801</v>
      </c>
      <c r="C708" s="149">
        <v>3.8000000000000007</v>
      </c>
      <c r="D708" s="141">
        <v>7190.899999999996</v>
      </c>
      <c r="E708" s="141"/>
      <c r="F708" s="141"/>
      <c r="G708" s="141"/>
      <c r="H708" s="141"/>
      <c r="J708" s="141">
        <f t="shared" si="21"/>
        <v>2.23</v>
      </c>
      <c r="K708" s="141">
        <f t="shared" si="22"/>
        <v>23714.16</v>
      </c>
    </row>
    <row r="709" spans="1:11">
      <c r="A709" s="141">
        <v>709</v>
      </c>
      <c r="B709" s="142">
        <v>42802</v>
      </c>
      <c r="C709" s="149">
        <v>3.8000000000000007</v>
      </c>
      <c r="D709" s="141">
        <v>7194.6999999999962</v>
      </c>
      <c r="E709" s="141"/>
      <c r="F709" s="141"/>
      <c r="G709" s="141"/>
      <c r="H709" s="141"/>
      <c r="J709" s="141">
        <f t="shared" si="21"/>
        <v>2.23</v>
      </c>
      <c r="K709" s="141">
        <f t="shared" si="22"/>
        <v>23767.68</v>
      </c>
    </row>
    <row r="710" spans="1:11">
      <c r="A710" s="141">
        <v>710</v>
      </c>
      <c r="B710" s="142">
        <v>42803</v>
      </c>
      <c r="C710" s="149">
        <v>7.1000000000000014</v>
      </c>
      <c r="D710" s="141">
        <v>7201.7999999999965</v>
      </c>
      <c r="E710" s="141"/>
      <c r="F710" s="141"/>
      <c r="G710" s="141"/>
      <c r="H710" s="141"/>
      <c r="J710" s="141">
        <f t="shared" si="21"/>
        <v>1.7349999999999999</v>
      </c>
      <c r="K710" s="141">
        <f t="shared" si="22"/>
        <v>23809.32</v>
      </c>
    </row>
    <row r="711" spans="1:11">
      <c r="A711" s="141">
        <v>711</v>
      </c>
      <c r="B711" s="142">
        <v>42804</v>
      </c>
      <c r="C711" s="149">
        <v>5.1999999999999993</v>
      </c>
      <c r="D711" s="141">
        <v>7206.9999999999964</v>
      </c>
      <c r="E711" s="141"/>
      <c r="F711" s="141"/>
      <c r="G711" s="141"/>
      <c r="H711" s="141"/>
      <c r="J711" s="141">
        <f t="shared" ref="J711:J774" si="23">J$1+(IF(J$3-$C711&gt;0,J$3-$C711,0)*J$2/30)</f>
        <v>2.02</v>
      </c>
      <c r="K711" s="141">
        <f t="shared" ref="K711:K774" si="24">K710+J711*24</f>
        <v>23857.8</v>
      </c>
    </row>
    <row r="712" spans="1:11">
      <c r="A712" s="141">
        <v>712</v>
      </c>
      <c r="B712" s="142">
        <v>42805</v>
      </c>
      <c r="C712" s="149">
        <v>5.5</v>
      </c>
      <c r="D712" s="141">
        <v>7212.4999999999964</v>
      </c>
      <c r="E712" s="141"/>
      <c r="F712" s="141"/>
      <c r="G712" s="141"/>
      <c r="H712" s="141"/>
      <c r="J712" s="141">
        <f t="shared" si="23"/>
        <v>1.9750000000000001</v>
      </c>
      <c r="K712" s="141">
        <f t="shared" si="24"/>
        <v>23905.200000000001</v>
      </c>
    </row>
    <row r="713" spans="1:11">
      <c r="A713" s="141">
        <v>713</v>
      </c>
      <c r="B713" s="142">
        <v>42806</v>
      </c>
      <c r="C713" s="149">
        <v>2</v>
      </c>
      <c r="D713" s="141">
        <v>7214.4999999999964</v>
      </c>
      <c r="E713" s="141"/>
      <c r="F713" s="141"/>
      <c r="G713" s="141"/>
      <c r="H713" s="141"/>
      <c r="J713" s="141">
        <f t="shared" si="23"/>
        <v>2.5</v>
      </c>
      <c r="K713" s="141">
        <f t="shared" si="24"/>
        <v>23965.200000000001</v>
      </c>
    </row>
    <row r="714" spans="1:11">
      <c r="A714" s="141">
        <v>714</v>
      </c>
      <c r="B714" s="142">
        <v>42807</v>
      </c>
      <c r="C714" s="149">
        <v>3.1000000000000014</v>
      </c>
      <c r="D714" s="141">
        <v>7217.5999999999967</v>
      </c>
      <c r="E714" s="141"/>
      <c r="F714" s="141"/>
      <c r="G714" s="141"/>
      <c r="H714" s="141"/>
      <c r="J714" s="141">
        <f t="shared" si="23"/>
        <v>2.335</v>
      </c>
      <c r="K714" s="141">
        <f t="shared" si="24"/>
        <v>24021.24</v>
      </c>
    </row>
    <row r="715" spans="1:11">
      <c r="A715" s="141">
        <v>715</v>
      </c>
      <c r="B715" s="142">
        <v>42808</v>
      </c>
      <c r="C715" s="149">
        <v>6</v>
      </c>
      <c r="D715" s="141">
        <v>7223.5999999999967</v>
      </c>
      <c r="E715" s="141"/>
      <c r="F715" s="141"/>
      <c r="G715" s="141"/>
      <c r="H715" s="141"/>
      <c r="J715" s="141">
        <f t="shared" si="23"/>
        <v>1.9</v>
      </c>
      <c r="K715" s="141">
        <f t="shared" si="24"/>
        <v>24066.84</v>
      </c>
    </row>
    <row r="716" spans="1:11">
      <c r="A716" s="141">
        <v>716</v>
      </c>
      <c r="B716" s="142">
        <v>42809</v>
      </c>
      <c r="C716" s="149">
        <v>8</v>
      </c>
      <c r="D716" s="141">
        <v>7231.5999999999967</v>
      </c>
      <c r="E716" s="141"/>
      <c r="F716" s="141"/>
      <c r="G716" s="141"/>
      <c r="H716" s="141"/>
      <c r="J716" s="141">
        <f t="shared" si="23"/>
        <v>1.6</v>
      </c>
      <c r="K716" s="141">
        <f t="shared" si="24"/>
        <v>24105.24</v>
      </c>
    </row>
    <row r="717" spans="1:11">
      <c r="A717" s="141">
        <v>717</v>
      </c>
      <c r="B717" s="142">
        <v>42810</v>
      </c>
      <c r="C717" s="149">
        <v>7.8000000000000007</v>
      </c>
      <c r="D717" s="141">
        <v>7239.3999999999969</v>
      </c>
      <c r="E717" s="141"/>
      <c r="F717" s="141"/>
      <c r="G717" s="141"/>
      <c r="H717" s="141"/>
      <c r="J717" s="141">
        <f t="shared" si="23"/>
        <v>1.63</v>
      </c>
      <c r="K717" s="141">
        <f t="shared" si="24"/>
        <v>24144.36</v>
      </c>
    </row>
    <row r="718" spans="1:11">
      <c r="A718" s="141">
        <v>718</v>
      </c>
      <c r="B718" s="142">
        <v>42811</v>
      </c>
      <c r="C718" s="149">
        <v>8.5</v>
      </c>
      <c r="D718" s="141">
        <v>7247.8999999999969</v>
      </c>
      <c r="E718" s="141"/>
      <c r="F718" s="141"/>
      <c r="G718" s="141"/>
      <c r="H718" s="141"/>
      <c r="J718" s="141">
        <f t="shared" si="23"/>
        <v>1.5249999999999999</v>
      </c>
      <c r="K718" s="141">
        <f t="shared" si="24"/>
        <v>24180.959999999999</v>
      </c>
    </row>
    <row r="719" spans="1:11">
      <c r="A719" s="141">
        <v>719</v>
      </c>
      <c r="B719" s="142">
        <v>42812</v>
      </c>
      <c r="C719" s="149">
        <v>7</v>
      </c>
      <c r="D719" s="141">
        <v>7254.8999999999969</v>
      </c>
      <c r="E719" s="141"/>
      <c r="F719" s="141"/>
      <c r="G719" s="141"/>
      <c r="H719" s="141"/>
      <c r="J719" s="141">
        <f t="shared" si="23"/>
        <v>1.75</v>
      </c>
      <c r="K719" s="141">
        <f t="shared" si="24"/>
        <v>24222.959999999999</v>
      </c>
    </row>
    <row r="720" spans="1:11">
      <c r="A720" s="141">
        <v>720</v>
      </c>
      <c r="B720" s="142">
        <v>42813</v>
      </c>
      <c r="C720" s="149">
        <v>7.1000000000000014</v>
      </c>
      <c r="D720" s="141">
        <v>7261.9999999999973</v>
      </c>
      <c r="E720" s="141"/>
      <c r="F720" s="141"/>
      <c r="G720" s="141"/>
      <c r="H720" s="141"/>
      <c r="J720" s="141">
        <f t="shared" si="23"/>
        <v>1.7349999999999999</v>
      </c>
      <c r="K720" s="141">
        <f t="shared" si="24"/>
        <v>24264.6</v>
      </c>
    </row>
    <row r="721" spans="1:11">
      <c r="A721" s="141">
        <v>721</v>
      </c>
      <c r="B721" s="142">
        <v>42814</v>
      </c>
      <c r="C721" s="149">
        <v>11.2</v>
      </c>
      <c r="D721" s="141">
        <v>7273.1999999999971</v>
      </c>
      <c r="E721" s="141"/>
      <c r="F721" s="141"/>
      <c r="G721" s="141"/>
      <c r="H721" s="141"/>
      <c r="J721" s="141">
        <f t="shared" si="23"/>
        <v>1.1200000000000001</v>
      </c>
      <c r="K721" s="141">
        <f t="shared" si="24"/>
        <v>24291.48</v>
      </c>
    </row>
    <row r="722" spans="1:11">
      <c r="A722" s="141">
        <v>722</v>
      </c>
      <c r="B722" s="142">
        <v>42815</v>
      </c>
      <c r="C722" s="149">
        <v>10.600000000000001</v>
      </c>
      <c r="D722" s="141">
        <v>7283.7999999999975</v>
      </c>
      <c r="E722" s="141"/>
      <c r="F722" s="141"/>
      <c r="G722" s="141"/>
      <c r="H722" s="141"/>
      <c r="J722" s="141">
        <f t="shared" si="23"/>
        <v>1.2099999999999997</v>
      </c>
      <c r="K722" s="141">
        <f t="shared" si="24"/>
        <v>24320.52</v>
      </c>
    </row>
    <row r="723" spans="1:11">
      <c r="A723" s="141">
        <v>723</v>
      </c>
      <c r="B723" s="142">
        <v>42816</v>
      </c>
      <c r="C723" s="149">
        <v>4.8999999999999986</v>
      </c>
      <c r="D723" s="141">
        <v>7288.6999999999971</v>
      </c>
      <c r="E723" s="141"/>
      <c r="F723" s="141"/>
      <c r="G723" s="141"/>
      <c r="H723" s="141"/>
      <c r="J723" s="141">
        <f t="shared" si="23"/>
        <v>2.0650000000000004</v>
      </c>
      <c r="K723" s="141">
        <f t="shared" si="24"/>
        <v>24370.080000000002</v>
      </c>
    </row>
    <row r="724" spans="1:11">
      <c r="A724" s="141">
        <v>724</v>
      </c>
      <c r="B724" s="142">
        <v>42817</v>
      </c>
      <c r="C724" s="149">
        <v>4.6999999999999993</v>
      </c>
      <c r="D724" s="141">
        <v>7293.3999999999969</v>
      </c>
      <c r="E724" s="141"/>
      <c r="F724" s="141"/>
      <c r="G724" s="141"/>
      <c r="H724" s="141"/>
      <c r="J724" s="141">
        <f t="shared" si="23"/>
        <v>2.0949999999999998</v>
      </c>
      <c r="K724" s="141">
        <f t="shared" si="24"/>
        <v>24420.36</v>
      </c>
    </row>
    <row r="725" spans="1:11">
      <c r="A725" s="141">
        <v>725</v>
      </c>
      <c r="B725" s="142">
        <v>42818</v>
      </c>
      <c r="C725" s="149">
        <v>7.5</v>
      </c>
      <c r="D725" s="141">
        <v>7300.8999999999969</v>
      </c>
      <c r="E725" s="141"/>
      <c r="F725" s="141"/>
      <c r="G725" s="141"/>
      <c r="H725" s="141"/>
      <c r="J725" s="141">
        <f t="shared" si="23"/>
        <v>1.675</v>
      </c>
      <c r="K725" s="141">
        <f t="shared" si="24"/>
        <v>24460.560000000001</v>
      </c>
    </row>
    <row r="726" spans="1:11">
      <c r="A726" s="141">
        <v>726</v>
      </c>
      <c r="B726" s="142">
        <v>42819</v>
      </c>
      <c r="C726" s="149">
        <v>6.8000000000000007</v>
      </c>
      <c r="D726" s="141">
        <v>7307.6999999999971</v>
      </c>
      <c r="E726" s="141"/>
      <c r="F726" s="141"/>
      <c r="G726" s="141"/>
      <c r="H726" s="141"/>
      <c r="J726" s="141">
        <f t="shared" si="23"/>
        <v>1.78</v>
      </c>
      <c r="K726" s="141">
        <f t="shared" si="24"/>
        <v>24503.280000000002</v>
      </c>
    </row>
    <row r="727" spans="1:11">
      <c r="A727" s="141">
        <v>727</v>
      </c>
      <c r="B727" s="142">
        <v>42820</v>
      </c>
      <c r="C727" s="149">
        <v>7.1999999999999993</v>
      </c>
      <c r="D727" s="141">
        <v>7314.8999999999969</v>
      </c>
      <c r="E727" s="141"/>
      <c r="F727" s="141"/>
      <c r="G727" s="141"/>
      <c r="H727" s="141"/>
      <c r="J727" s="141">
        <f t="shared" si="23"/>
        <v>1.72</v>
      </c>
      <c r="K727" s="141">
        <f t="shared" si="24"/>
        <v>24544.560000000001</v>
      </c>
    </row>
    <row r="728" spans="1:11">
      <c r="A728" s="141">
        <v>728</v>
      </c>
      <c r="B728" s="142">
        <v>42821</v>
      </c>
      <c r="C728" s="149">
        <v>6.5</v>
      </c>
      <c r="D728" s="141">
        <v>7321.3999999999969</v>
      </c>
      <c r="E728" s="141"/>
      <c r="F728" s="141"/>
      <c r="G728" s="141"/>
      <c r="H728" s="141"/>
      <c r="J728" s="141">
        <f t="shared" si="23"/>
        <v>1.825</v>
      </c>
      <c r="K728" s="141">
        <f t="shared" si="24"/>
        <v>24588.36</v>
      </c>
    </row>
    <row r="729" spans="1:11">
      <c r="A729" s="141">
        <v>729</v>
      </c>
      <c r="B729" s="142">
        <v>42822</v>
      </c>
      <c r="C729" s="149">
        <v>11</v>
      </c>
      <c r="D729" s="141">
        <v>7332.3999999999969</v>
      </c>
      <c r="E729" s="141"/>
      <c r="F729" s="141"/>
      <c r="G729" s="141"/>
      <c r="H729" s="141"/>
      <c r="J729" s="141">
        <f t="shared" si="23"/>
        <v>1.1499999999999999</v>
      </c>
      <c r="K729" s="141">
        <f t="shared" si="24"/>
        <v>24615.96</v>
      </c>
    </row>
    <row r="730" spans="1:11">
      <c r="A730" s="141">
        <v>730</v>
      </c>
      <c r="B730" s="142">
        <v>42823</v>
      </c>
      <c r="C730" s="149">
        <v>13</v>
      </c>
      <c r="D730" s="141">
        <v>7345.3999999999969</v>
      </c>
      <c r="E730" s="141"/>
      <c r="F730" s="141"/>
      <c r="G730" s="141"/>
      <c r="H730" s="141"/>
      <c r="J730" s="141">
        <f t="shared" si="23"/>
        <v>0.85</v>
      </c>
      <c r="K730" s="141">
        <f t="shared" si="24"/>
        <v>24636.36</v>
      </c>
    </row>
    <row r="731" spans="1:11">
      <c r="A731" s="141">
        <v>731</v>
      </c>
      <c r="B731" s="142">
        <v>42824</v>
      </c>
      <c r="C731" s="149">
        <v>13</v>
      </c>
      <c r="D731" s="141">
        <v>7358.3999999999969</v>
      </c>
      <c r="E731" s="141"/>
      <c r="F731" s="141"/>
      <c r="G731" s="141"/>
      <c r="H731" s="141"/>
      <c r="J731" s="141">
        <f t="shared" si="23"/>
        <v>0.85</v>
      </c>
      <c r="K731" s="141">
        <f t="shared" si="24"/>
        <v>24656.760000000002</v>
      </c>
    </row>
    <row r="732" spans="1:11">
      <c r="A732" s="141">
        <v>732</v>
      </c>
      <c r="B732" s="142">
        <v>42825</v>
      </c>
      <c r="C732" s="149">
        <v>13.7</v>
      </c>
      <c r="D732" s="141">
        <v>7372.0999999999967</v>
      </c>
      <c r="E732" s="141"/>
      <c r="F732" s="141"/>
      <c r="G732" s="141"/>
      <c r="H732" s="141"/>
      <c r="J732" s="141">
        <f t="shared" si="23"/>
        <v>0.74500000000000011</v>
      </c>
      <c r="K732" s="141">
        <f t="shared" si="24"/>
        <v>24674.640000000003</v>
      </c>
    </row>
    <row r="733" spans="1:11">
      <c r="A733" s="141">
        <v>733</v>
      </c>
      <c r="B733" s="142">
        <v>42826</v>
      </c>
      <c r="C733" s="149">
        <v>14.4</v>
      </c>
      <c r="D733" s="141">
        <v>7386.4999999999964</v>
      </c>
      <c r="E733" s="141"/>
      <c r="F733" s="141"/>
      <c r="G733" s="141"/>
      <c r="H733" s="141"/>
      <c r="J733" s="141">
        <f t="shared" si="23"/>
        <v>0.6399999999999999</v>
      </c>
      <c r="K733" s="141">
        <f t="shared" si="24"/>
        <v>24690.000000000004</v>
      </c>
    </row>
    <row r="734" spans="1:11">
      <c r="A734" s="141">
        <v>734</v>
      </c>
      <c r="B734" s="142">
        <v>42827</v>
      </c>
      <c r="C734" s="149">
        <v>14.1</v>
      </c>
      <c r="D734" s="141">
        <v>7400.5999999999967</v>
      </c>
      <c r="E734" s="141"/>
      <c r="F734" s="141"/>
      <c r="G734" s="141"/>
      <c r="H734" s="141"/>
      <c r="J734" s="141">
        <f t="shared" si="23"/>
        <v>0.68500000000000005</v>
      </c>
      <c r="K734" s="141">
        <f t="shared" si="24"/>
        <v>24706.440000000002</v>
      </c>
    </row>
    <row r="735" spans="1:11">
      <c r="A735" s="141">
        <v>735</v>
      </c>
      <c r="B735" s="142">
        <v>42828</v>
      </c>
      <c r="C735" s="149">
        <v>11.3</v>
      </c>
      <c r="D735" s="141">
        <v>7411.8999999999969</v>
      </c>
      <c r="E735" s="141"/>
      <c r="F735" s="141"/>
      <c r="G735" s="141"/>
      <c r="H735" s="141"/>
      <c r="J735" s="141">
        <f t="shared" si="23"/>
        <v>1.105</v>
      </c>
      <c r="K735" s="141">
        <f t="shared" si="24"/>
        <v>24732.960000000003</v>
      </c>
    </row>
    <row r="736" spans="1:11">
      <c r="A736" s="141">
        <v>736</v>
      </c>
      <c r="B736" s="142">
        <v>42829</v>
      </c>
      <c r="C736" s="149">
        <v>8.5</v>
      </c>
      <c r="D736" s="141">
        <v>7420.3999999999969</v>
      </c>
      <c r="E736" s="141"/>
      <c r="F736" s="141"/>
      <c r="G736" s="141"/>
      <c r="H736" s="141"/>
      <c r="J736" s="141">
        <f t="shared" si="23"/>
        <v>1.5249999999999999</v>
      </c>
      <c r="K736" s="141">
        <f t="shared" si="24"/>
        <v>24769.56</v>
      </c>
    </row>
    <row r="737" spans="1:11">
      <c r="A737" s="141">
        <v>737</v>
      </c>
      <c r="B737" s="142">
        <v>42830</v>
      </c>
      <c r="C737" s="149">
        <v>8.6000000000000014</v>
      </c>
      <c r="D737" s="141">
        <v>7428.9999999999973</v>
      </c>
      <c r="E737" s="141"/>
      <c r="F737" s="141"/>
      <c r="G737" s="141"/>
      <c r="H737" s="141"/>
      <c r="J737" s="141">
        <f t="shared" si="23"/>
        <v>1.51</v>
      </c>
      <c r="K737" s="141">
        <f t="shared" si="24"/>
        <v>24805.800000000003</v>
      </c>
    </row>
    <row r="738" spans="1:11">
      <c r="A738" s="141">
        <v>738</v>
      </c>
      <c r="B738" s="142">
        <v>42831</v>
      </c>
      <c r="C738" s="149">
        <v>7.3000000000000007</v>
      </c>
      <c r="D738" s="141">
        <v>7436.2999999999975</v>
      </c>
      <c r="E738" s="141"/>
      <c r="F738" s="141"/>
      <c r="G738" s="141"/>
      <c r="H738" s="141"/>
      <c r="J738" s="141">
        <f t="shared" si="23"/>
        <v>1.7049999999999998</v>
      </c>
      <c r="K738" s="141">
        <f t="shared" si="24"/>
        <v>24846.720000000001</v>
      </c>
    </row>
    <row r="739" spans="1:11">
      <c r="A739" s="141">
        <v>739</v>
      </c>
      <c r="B739" s="142">
        <v>42832</v>
      </c>
      <c r="C739" s="149">
        <v>7.6999999999999993</v>
      </c>
      <c r="D739" s="141">
        <v>7443.9999999999973</v>
      </c>
      <c r="E739" s="141"/>
      <c r="F739" s="141"/>
      <c r="G739" s="141"/>
      <c r="H739" s="141"/>
      <c r="J739" s="141">
        <f t="shared" si="23"/>
        <v>1.645</v>
      </c>
      <c r="K739" s="141">
        <f t="shared" si="24"/>
        <v>24886.2</v>
      </c>
    </row>
    <row r="740" spans="1:11">
      <c r="A740" s="141">
        <v>740</v>
      </c>
      <c r="B740" s="142">
        <v>42833</v>
      </c>
      <c r="C740" s="149">
        <v>11.100000000000001</v>
      </c>
      <c r="D740" s="141">
        <v>7455.0999999999976</v>
      </c>
      <c r="E740" s="141"/>
      <c r="F740" s="141"/>
      <c r="G740" s="141"/>
      <c r="H740" s="141"/>
      <c r="J740" s="141">
        <f t="shared" si="23"/>
        <v>1.1349999999999998</v>
      </c>
      <c r="K740" s="141">
        <f t="shared" si="24"/>
        <v>24913.440000000002</v>
      </c>
    </row>
    <row r="741" spans="1:11">
      <c r="A741" s="141">
        <v>741</v>
      </c>
      <c r="B741" s="142">
        <v>42834</v>
      </c>
      <c r="C741" s="149">
        <v>12.600000000000001</v>
      </c>
      <c r="D741" s="141">
        <v>7467.699999999998</v>
      </c>
      <c r="E741" s="141"/>
      <c r="F741" s="141"/>
      <c r="G741" s="141"/>
      <c r="H741" s="141"/>
      <c r="J741" s="141">
        <f t="shared" si="23"/>
        <v>0.90999999999999981</v>
      </c>
      <c r="K741" s="141">
        <f t="shared" si="24"/>
        <v>24935.280000000002</v>
      </c>
    </row>
    <row r="742" spans="1:11">
      <c r="A742" s="141">
        <v>742</v>
      </c>
      <c r="B742" s="142">
        <v>42835</v>
      </c>
      <c r="C742" s="149">
        <v>14.4</v>
      </c>
      <c r="D742" s="141">
        <v>7482.0999999999976</v>
      </c>
      <c r="E742" s="141"/>
      <c r="F742" s="141"/>
      <c r="G742" s="141"/>
      <c r="H742" s="141"/>
      <c r="J742" s="141">
        <f t="shared" si="23"/>
        <v>0.6399999999999999</v>
      </c>
      <c r="K742" s="141">
        <f t="shared" si="24"/>
        <v>24950.640000000003</v>
      </c>
    </row>
    <row r="743" spans="1:11">
      <c r="A743" s="141">
        <v>743</v>
      </c>
      <c r="B743" s="142">
        <v>42836</v>
      </c>
      <c r="C743" s="149">
        <v>7.8999999999999986</v>
      </c>
      <c r="D743" s="141">
        <v>7489.9999999999973</v>
      </c>
      <c r="E743" s="141"/>
      <c r="F743" s="141"/>
      <c r="G743" s="141"/>
      <c r="H743" s="141"/>
      <c r="J743" s="141">
        <f t="shared" si="23"/>
        <v>1.615</v>
      </c>
      <c r="K743" s="141">
        <f t="shared" si="24"/>
        <v>24989.4</v>
      </c>
    </row>
    <row r="744" spans="1:11">
      <c r="A744" s="141">
        <v>744</v>
      </c>
      <c r="B744" s="142">
        <v>42837</v>
      </c>
      <c r="C744" s="149">
        <v>9.5</v>
      </c>
      <c r="D744" s="141">
        <v>7499.4999999999973</v>
      </c>
      <c r="E744" s="141"/>
      <c r="F744" s="141"/>
      <c r="G744" s="141"/>
      <c r="H744" s="141"/>
      <c r="J744" s="141">
        <f t="shared" si="23"/>
        <v>1.375</v>
      </c>
      <c r="K744" s="141">
        <f t="shared" si="24"/>
        <v>25022.400000000001</v>
      </c>
    </row>
    <row r="745" spans="1:11">
      <c r="A745" s="141">
        <v>745</v>
      </c>
      <c r="B745" s="142">
        <v>42838</v>
      </c>
      <c r="C745" s="149">
        <v>9.1999999999999993</v>
      </c>
      <c r="D745" s="141">
        <v>7508.6999999999971</v>
      </c>
      <c r="E745" s="141"/>
      <c r="F745" s="141"/>
      <c r="G745" s="141"/>
      <c r="H745" s="141"/>
      <c r="J745" s="141">
        <f t="shared" si="23"/>
        <v>1.4200000000000002</v>
      </c>
      <c r="K745" s="141">
        <f t="shared" si="24"/>
        <v>25056.480000000003</v>
      </c>
    </row>
    <row r="746" spans="1:11">
      <c r="A746" s="141">
        <v>746</v>
      </c>
      <c r="B746" s="142">
        <v>42839</v>
      </c>
      <c r="C746" s="149">
        <v>9.6999999999999993</v>
      </c>
      <c r="D746" s="141">
        <v>7518.3999999999969</v>
      </c>
      <c r="E746" s="141"/>
      <c r="F746" s="141"/>
      <c r="G746" s="141"/>
      <c r="H746" s="141"/>
      <c r="J746" s="141">
        <f t="shared" si="23"/>
        <v>1.345</v>
      </c>
      <c r="K746" s="141">
        <f t="shared" si="24"/>
        <v>25088.760000000002</v>
      </c>
    </row>
    <row r="747" spans="1:11">
      <c r="A747" s="141">
        <v>747</v>
      </c>
      <c r="B747" s="142">
        <v>42840</v>
      </c>
      <c r="C747" s="149">
        <v>10.3</v>
      </c>
      <c r="D747" s="141">
        <v>7528.6999999999971</v>
      </c>
      <c r="E747" s="141"/>
      <c r="F747" s="141"/>
      <c r="G747" s="141"/>
      <c r="H747" s="141"/>
      <c r="J747" s="141">
        <f t="shared" si="23"/>
        <v>1.2549999999999999</v>
      </c>
      <c r="K747" s="141">
        <f t="shared" si="24"/>
        <v>25118.880000000001</v>
      </c>
    </row>
    <row r="748" spans="1:11">
      <c r="A748" s="141">
        <v>748</v>
      </c>
      <c r="B748" s="142">
        <v>42841</v>
      </c>
      <c r="C748" s="149">
        <v>6.8999999999999986</v>
      </c>
      <c r="D748" s="141">
        <v>7535.5999999999967</v>
      </c>
      <c r="E748" s="141"/>
      <c r="F748" s="141"/>
      <c r="G748" s="141"/>
      <c r="H748" s="141"/>
      <c r="J748" s="141">
        <f t="shared" si="23"/>
        <v>1.7650000000000001</v>
      </c>
      <c r="K748" s="141">
        <f t="shared" si="24"/>
        <v>25161.24</v>
      </c>
    </row>
    <row r="749" spans="1:11">
      <c r="A749" s="141">
        <v>749</v>
      </c>
      <c r="B749" s="142">
        <v>42842</v>
      </c>
      <c r="C749" s="149">
        <v>4.6999999999999993</v>
      </c>
      <c r="D749" s="141">
        <v>7540.2999999999965</v>
      </c>
      <c r="E749" s="141"/>
      <c r="F749" s="141"/>
      <c r="G749" s="141"/>
      <c r="H749" s="141"/>
      <c r="J749" s="141">
        <f t="shared" si="23"/>
        <v>2.0949999999999998</v>
      </c>
      <c r="K749" s="141">
        <f t="shared" si="24"/>
        <v>25211.52</v>
      </c>
    </row>
    <row r="750" spans="1:11">
      <c r="A750" s="141">
        <v>750</v>
      </c>
      <c r="B750" s="142">
        <v>42843</v>
      </c>
      <c r="C750" s="149">
        <v>3.3000000000000007</v>
      </c>
      <c r="D750" s="141">
        <v>7543.5999999999967</v>
      </c>
      <c r="E750" s="141"/>
      <c r="F750" s="141"/>
      <c r="G750" s="141"/>
      <c r="H750" s="141"/>
      <c r="J750" s="141">
        <f t="shared" si="23"/>
        <v>2.3050000000000002</v>
      </c>
      <c r="K750" s="141">
        <f t="shared" si="24"/>
        <v>25266.84</v>
      </c>
    </row>
    <row r="751" spans="1:11">
      <c r="A751" s="141">
        <v>751</v>
      </c>
      <c r="B751" s="142">
        <v>42844</v>
      </c>
      <c r="C751" s="149">
        <v>2</v>
      </c>
      <c r="D751" s="141">
        <v>7545.5999999999967</v>
      </c>
      <c r="E751" s="141"/>
      <c r="F751" s="141"/>
      <c r="G751" s="141"/>
      <c r="H751" s="141"/>
      <c r="J751" s="141">
        <f t="shared" si="23"/>
        <v>2.5</v>
      </c>
      <c r="K751" s="141">
        <f t="shared" si="24"/>
        <v>25326.84</v>
      </c>
    </row>
    <row r="752" spans="1:11">
      <c r="A752" s="141">
        <v>752</v>
      </c>
      <c r="B752" s="142">
        <v>42845</v>
      </c>
      <c r="C752" s="149">
        <v>3.1999999999999993</v>
      </c>
      <c r="D752" s="141">
        <v>7548.7999999999965</v>
      </c>
      <c r="E752" s="141"/>
      <c r="F752" s="141"/>
      <c r="G752" s="141"/>
      <c r="H752" s="141"/>
      <c r="J752" s="141">
        <f t="shared" si="23"/>
        <v>2.3199999999999998</v>
      </c>
      <c r="K752" s="141">
        <f t="shared" si="24"/>
        <v>25382.52</v>
      </c>
    </row>
    <row r="753" spans="1:11">
      <c r="A753" s="141">
        <v>753</v>
      </c>
      <c r="B753" s="142">
        <v>42846</v>
      </c>
      <c r="C753" s="149">
        <v>6.1999999999999993</v>
      </c>
      <c r="D753" s="141">
        <v>7554.9999999999964</v>
      </c>
      <c r="E753" s="141"/>
      <c r="F753" s="141"/>
      <c r="G753" s="141"/>
      <c r="H753" s="141"/>
      <c r="J753" s="141">
        <f t="shared" si="23"/>
        <v>1.87</v>
      </c>
      <c r="K753" s="141">
        <f t="shared" si="24"/>
        <v>25427.4</v>
      </c>
    </row>
    <row r="754" spans="1:11">
      <c r="A754" s="141">
        <v>754</v>
      </c>
      <c r="B754" s="142">
        <v>42847</v>
      </c>
      <c r="C754" s="149">
        <v>7.6999999999999993</v>
      </c>
      <c r="D754" s="141">
        <v>7562.6999999999962</v>
      </c>
      <c r="E754" s="141"/>
      <c r="F754" s="141"/>
      <c r="G754" s="141"/>
      <c r="H754" s="141"/>
      <c r="J754" s="141">
        <f t="shared" si="23"/>
        <v>1.645</v>
      </c>
      <c r="K754" s="141">
        <f t="shared" si="24"/>
        <v>25466.880000000001</v>
      </c>
    </row>
    <row r="755" spans="1:11">
      <c r="A755" s="141">
        <v>755</v>
      </c>
      <c r="B755" s="142">
        <v>42848</v>
      </c>
      <c r="C755" s="149">
        <v>6</v>
      </c>
      <c r="D755" s="141">
        <v>7568.6999999999962</v>
      </c>
      <c r="E755" s="141"/>
      <c r="F755" s="141"/>
      <c r="G755" s="141"/>
      <c r="H755" s="141"/>
      <c r="J755" s="141">
        <f t="shared" si="23"/>
        <v>1.9</v>
      </c>
      <c r="K755" s="141">
        <f t="shared" si="24"/>
        <v>25512.48</v>
      </c>
    </row>
    <row r="756" spans="1:11">
      <c r="A756" s="141">
        <v>756</v>
      </c>
      <c r="B756" s="142">
        <v>42849</v>
      </c>
      <c r="C756" s="149">
        <v>8.1999999999999993</v>
      </c>
      <c r="D756" s="141">
        <v>7576.899999999996</v>
      </c>
      <c r="E756" s="141"/>
      <c r="F756" s="141"/>
      <c r="G756" s="141"/>
      <c r="H756" s="141"/>
      <c r="J756" s="141">
        <f t="shared" si="23"/>
        <v>1.57</v>
      </c>
      <c r="K756" s="141">
        <f t="shared" si="24"/>
        <v>25550.16</v>
      </c>
    </row>
    <row r="757" spans="1:11">
      <c r="A757" s="141">
        <v>757</v>
      </c>
      <c r="B757" s="142">
        <v>42850</v>
      </c>
      <c r="C757" s="149">
        <v>10.100000000000001</v>
      </c>
      <c r="D757" s="141">
        <v>7586.9999999999964</v>
      </c>
      <c r="E757" s="141"/>
      <c r="F757" s="141"/>
      <c r="G757" s="141"/>
      <c r="H757" s="141"/>
      <c r="J757" s="141">
        <f t="shared" si="23"/>
        <v>1.2849999999999997</v>
      </c>
      <c r="K757" s="141">
        <f t="shared" si="24"/>
        <v>25581</v>
      </c>
    </row>
    <row r="758" spans="1:11">
      <c r="A758" s="141">
        <v>758</v>
      </c>
      <c r="B758" s="142">
        <v>42851</v>
      </c>
      <c r="C758" s="149">
        <v>4.3999999999999986</v>
      </c>
      <c r="D758" s="141">
        <v>7591.399999999996</v>
      </c>
      <c r="E758" s="141"/>
      <c r="F758" s="141"/>
      <c r="G758" s="141"/>
      <c r="H758" s="141"/>
      <c r="J758" s="141">
        <f t="shared" si="23"/>
        <v>2.14</v>
      </c>
      <c r="K758" s="141">
        <f t="shared" si="24"/>
        <v>25632.36</v>
      </c>
    </row>
    <row r="759" spans="1:11">
      <c r="A759" s="141">
        <v>759</v>
      </c>
      <c r="B759" s="142">
        <v>42852</v>
      </c>
      <c r="C759" s="149">
        <v>6.1000000000000014</v>
      </c>
      <c r="D759" s="141">
        <v>7597.4999999999964</v>
      </c>
      <c r="E759" s="141"/>
      <c r="F759" s="141"/>
      <c r="G759" s="141"/>
      <c r="H759" s="141"/>
      <c r="J759" s="141">
        <f t="shared" si="23"/>
        <v>1.885</v>
      </c>
      <c r="K759" s="141">
        <f t="shared" si="24"/>
        <v>25677.600000000002</v>
      </c>
    </row>
    <row r="760" spans="1:11">
      <c r="A760" s="141">
        <v>760</v>
      </c>
      <c r="B760" s="142">
        <v>42853</v>
      </c>
      <c r="C760" s="149">
        <v>5</v>
      </c>
      <c r="D760" s="141">
        <v>7602.4999999999964</v>
      </c>
      <c r="E760" s="141"/>
      <c r="F760" s="141"/>
      <c r="G760" s="141"/>
      <c r="H760" s="141"/>
      <c r="J760" s="141">
        <f t="shared" si="23"/>
        <v>2.0499999999999998</v>
      </c>
      <c r="K760" s="141">
        <f t="shared" si="24"/>
        <v>25726.800000000003</v>
      </c>
    </row>
    <row r="761" spans="1:11">
      <c r="A761" s="141">
        <v>761</v>
      </c>
      <c r="B761" s="142">
        <v>42854</v>
      </c>
      <c r="C761" s="149">
        <v>6.8000000000000007</v>
      </c>
      <c r="D761" s="141">
        <v>7609.2999999999965</v>
      </c>
      <c r="E761" s="141"/>
      <c r="F761" s="141"/>
      <c r="G761" s="141"/>
      <c r="H761" s="141"/>
      <c r="J761" s="141">
        <f t="shared" si="23"/>
        <v>1.78</v>
      </c>
      <c r="K761" s="141">
        <f t="shared" si="24"/>
        <v>25769.520000000004</v>
      </c>
    </row>
    <row r="762" spans="1:11">
      <c r="A762" s="141">
        <v>762</v>
      </c>
      <c r="B762" s="142">
        <v>42855</v>
      </c>
      <c r="C762" s="149">
        <v>9.1999999999999993</v>
      </c>
      <c r="D762" s="141">
        <v>7618.4999999999964</v>
      </c>
      <c r="E762" s="141"/>
      <c r="F762" s="141"/>
      <c r="G762" s="141"/>
      <c r="H762" s="141"/>
      <c r="J762" s="141">
        <f t="shared" si="23"/>
        <v>1.4200000000000002</v>
      </c>
      <c r="K762" s="141">
        <f t="shared" si="24"/>
        <v>25803.600000000006</v>
      </c>
    </row>
    <row r="763" spans="1:11">
      <c r="A763" s="141">
        <v>763</v>
      </c>
      <c r="B763" s="142">
        <v>42856</v>
      </c>
      <c r="C763" s="149">
        <v>10.3</v>
      </c>
      <c r="D763" s="141">
        <v>7628.7999999999965</v>
      </c>
      <c r="E763" s="141"/>
      <c r="F763" s="141"/>
      <c r="G763" s="141"/>
      <c r="H763" s="141"/>
      <c r="J763" s="141">
        <f t="shared" si="23"/>
        <v>1.2549999999999999</v>
      </c>
      <c r="K763" s="141">
        <f t="shared" si="24"/>
        <v>25833.720000000005</v>
      </c>
    </row>
    <row r="764" spans="1:11">
      <c r="A764" s="141">
        <v>764</v>
      </c>
      <c r="B764" s="142">
        <v>42857</v>
      </c>
      <c r="C764" s="149">
        <v>10.899999999999999</v>
      </c>
      <c r="D764" s="141">
        <v>7639.6999999999962</v>
      </c>
      <c r="E764" s="141"/>
      <c r="F764" s="141"/>
      <c r="G764" s="141"/>
      <c r="H764" s="141"/>
      <c r="J764" s="141">
        <f t="shared" si="23"/>
        <v>1.1650000000000003</v>
      </c>
      <c r="K764" s="141">
        <f t="shared" si="24"/>
        <v>25861.680000000004</v>
      </c>
    </row>
    <row r="765" spans="1:11">
      <c r="A765" s="141">
        <v>765</v>
      </c>
      <c r="B765" s="142">
        <v>42858</v>
      </c>
      <c r="C765" s="149">
        <v>11.399999999999999</v>
      </c>
      <c r="D765" s="141">
        <v>7651.0999999999958</v>
      </c>
      <c r="E765" s="141"/>
      <c r="F765" s="141"/>
      <c r="G765" s="141"/>
      <c r="H765" s="141"/>
      <c r="J765" s="141">
        <f t="shared" si="23"/>
        <v>1.0900000000000003</v>
      </c>
      <c r="K765" s="141">
        <f t="shared" si="24"/>
        <v>25887.840000000004</v>
      </c>
    </row>
    <row r="766" spans="1:11">
      <c r="A766" s="141">
        <v>766</v>
      </c>
      <c r="B766" s="142">
        <v>42859</v>
      </c>
      <c r="C766" s="149">
        <v>11.5</v>
      </c>
      <c r="D766" s="141">
        <v>7662.5999999999958</v>
      </c>
      <c r="E766" s="141"/>
      <c r="F766" s="141"/>
      <c r="G766" s="141"/>
      <c r="H766" s="141"/>
      <c r="J766" s="141">
        <f t="shared" si="23"/>
        <v>1.075</v>
      </c>
      <c r="K766" s="141">
        <f t="shared" si="24"/>
        <v>25913.640000000003</v>
      </c>
    </row>
    <row r="767" spans="1:11">
      <c r="A767" s="141">
        <v>767</v>
      </c>
      <c r="B767" s="142">
        <v>42860</v>
      </c>
      <c r="C767" s="149">
        <v>9.5</v>
      </c>
      <c r="D767" s="141">
        <v>7672.0999999999958</v>
      </c>
      <c r="E767" s="141"/>
      <c r="F767" s="141"/>
      <c r="G767" s="141"/>
      <c r="H767" s="141"/>
      <c r="J767" s="141">
        <f t="shared" si="23"/>
        <v>1.375</v>
      </c>
      <c r="K767" s="141">
        <f t="shared" si="24"/>
        <v>25946.640000000003</v>
      </c>
    </row>
    <row r="768" spans="1:11">
      <c r="A768" s="141">
        <v>768</v>
      </c>
      <c r="B768" s="142">
        <v>42861</v>
      </c>
      <c r="C768" s="149">
        <v>13</v>
      </c>
      <c r="D768" s="141">
        <v>7685.0999999999958</v>
      </c>
      <c r="E768" s="141"/>
      <c r="F768" s="141"/>
      <c r="G768" s="141"/>
      <c r="H768" s="141"/>
      <c r="J768" s="141">
        <f t="shared" si="23"/>
        <v>0.85</v>
      </c>
      <c r="K768" s="141">
        <f t="shared" si="24"/>
        <v>25967.040000000005</v>
      </c>
    </row>
    <row r="769" spans="1:11">
      <c r="A769" s="141">
        <v>769</v>
      </c>
      <c r="B769" s="142">
        <v>42862</v>
      </c>
      <c r="C769" s="149">
        <v>13.2</v>
      </c>
      <c r="D769" s="141">
        <v>7698.2999999999956</v>
      </c>
      <c r="E769" s="141"/>
      <c r="F769" s="141"/>
      <c r="G769" s="141"/>
      <c r="H769" s="141"/>
      <c r="J769" s="141">
        <f t="shared" si="23"/>
        <v>0.82000000000000006</v>
      </c>
      <c r="K769" s="141">
        <f t="shared" si="24"/>
        <v>25986.720000000005</v>
      </c>
    </row>
    <row r="770" spans="1:11">
      <c r="A770" s="141">
        <v>770</v>
      </c>
      <c r="B770" s="142">
        <v>42863</v>
      </c>
      <c r="C770" s="149">
        <v>10.5</v>
      </c>
      <c r="D770" s="141">
        <v>7708.7999999999956</v>
      </c>
      <c r="E770" s="141"/>
      <c r="F770" s="141"/>
      <c r="G770" s="141"/>
      <c r="H770" s="141"/>
      <c r="J770" s="141">
        <f t="shared" si="23"/>
        <v>1.2250000000000001</v>
      </c>
      <c r="K770" s="141">
        <f t="shared" si="24"/>
        <v>26016.120000000006</v>
      </c>
    </row>
    <row r="771" spans="1:11">
      <c r="A771" s="141">
        <v>771</v>
      </c>
      <c r="B771" s="142">
        <v>42864</v>
      </c>
      <c r="C771" s="149">
        <v>5.6000000000000014</v>
      </c>
      <c r="D771" s="141">
        <v>7714.399999999996</v>
      </c>
      <c r="E771" s="141"/>
      <c r="F771" s="141"/>
      <c r="G771" s="141"/>
      <c r="H771" s="141"/>
      <c r="J771" s="141">
        <f t="shared" si="23"/>
        <v>1.96</v>
      </c>
      <c r="K771" s="141">
        <f t="shared" si="24"/>
        <v>26063.160000000007</v>
      </c>
    </row>
    <row r="772" spans="1:11">
      <c r="A772" s="141">
        <v>772</v>
      </c>
      <c r="B772" s="142">
        <v>42865</v>
      </c>
      <c r="C772" s="149">
        <v>7.3000000000000007</v>
      </c>
      <c r="D772" s="141">
        <v>7721.6999999999962</v>
      </c>
      <c r="E772" s="141"/>
      <c r="F772" s="141"/>
      <c r="G772" s="141"/>
      <c r="H772" s="141"/>
      <c r="J772" s="141">
        <f t="shared" si="23"/>
        <v>1.7049999999999998</v>
      </c>
      <c r="K772" s="141">
        <f t="shared" si="24"/>
        <v>26104.080000000005</v>
      </c>
    </row>
    <row r="773" spans="1:11">
      <c r="A773" s="141">
        <v>773</v>
      </c>
      <c r="B773" s="142">
        <v>42866</v>
      </c>
      <c r="C773" s="149">
        <v>12.399999999999999</v>
      </c>
      <c r="D773" s="141">
        <v>7734.0999999999958</v>
      </c>
      <c r="E773" s="141"/>
      <c r="F773" s="141"/>
      <c r="G773" s="141"/>
      <c r="H773" s="141"/>
      <c r="J773" s="141">
        <f t="shared" si="23"/>
        <v>0.94000000000000017</v>
      </c>
      <c r="K773" s="141">
        <f t="shared" si="24"/>
        <v>26126.640000000007</v>
      </c>
    </row>
    <row r="774" spans="1:11">
      <c r="A774" s="141">
        <v>774</v>
      </c>
      <c r="B774" s="142">
        <v>42867</v>
      </c>
      <c r="C774" s="149">
        <v>15</v>
      </c>
      <c r="D774" s="141">
        <v>7749.0999999999958</v>
      </c>
      <c r="E774" s="141"/>
      <c r="F774" s="141"/>
      <c r="G774" s="141"/>
      <c r="H774" s="141"/>
      <c r="J774" s="141">
        <f t="shared" si="23"/>
        <v>0.55000000000000004</v>
      </c>
      <c r="K774" s="141">
        <f t="shared" si="24"/>
        <v>26139.840000000007</v>
      </c>
    </row>
    <row r="775" spans="1:11">
      <c r="A775" s="141">
        <v>775</v>
      </c>
      <c r="B775" s="142">
        <v>42868</v>
      </c>
      <c r="C775" s="149">
        <v>15.5</v>
      </c>
      <c r="D775" s="141">
        <v>7764.5999999999958</v>
      </c>
      <c r="E775" s="141"/>
      <c r="F775" s="141"/>
      <c r="G775" s="141"/>
      <c r="H775" s="141"/>
      <c r="J775" s="141">
        <f t="shared" ref="J775:J838" si="25">J$1+(IF(J$3-$C775&gt;0,J$3-$C775,0)*J$2/30)</f>
        <v>0.47499999999999998</v>
      </c>
      <c r="K775" s="141">
        <f t="shared" ref="K775:K838" si="26">K774+J775*24</f>
        <v>26151.240000000009</v>
      </c>
    </row>
    <row r="776" spans="1:11">
      <c r="A776" s="141">
        <v>776</v>
      </c>
      <c r="B776" s="142">
        <v>42869</v>
      </c>
      <c r="C776" s="149">
        <v>14.7</v>
      </c>
      <c r="D776" s="141">
        <v>7779.2999999999956</v>
      </c>
      <c r="E776" s="141"/>
      <c r="F776" s="141"/>
      <c r="G776" s="141"/>
      <c r="H776" s="141"/>
      <c r="J776" s="141">
        <f t="shared" si="25"/>
        <v>0.59500000000000008</v>
      </c>
      <c r="K776" s="141">
        <f t="shared" si="26"/>
        <v>26165.520000000008</v>
      </c>
    </row>
    <row r="777" spans="1:11">
      <c r="A777" s="141">
        <v>777</v>
      </c>
      <c r="B777" s="142">
        <v>42870</v>
      </c>
      <c r="C777" s="149">
        <v>15.5</v>
      </c>
      <c r="D777" s="141">
        <v>7794.7999999999956</v>
      </c>
      <c r="E777" s="141"/>
      <c r="F777" s="141"/>
      <c r="G777" s="141"/>
      <c r="H777" s="141"/>
      <c r="J777" s="141">
        <f t="shared" si="25"/>
        <v>0.47499999999999998</v>
      </c>
      <c r="K777" s="141">
        <f t="shared" si="26"/>
        <v>26176.920000000009</v>
      </c>
    </row>
    <row r="778" spans="1:11">
      <c r="A778" s="141">
        <v>778</v>
      </c>
      <c r="B778" s="142">
        <v>42871</v>
      </c>
      <c r="C778" s="149">
        <v>16.5</v>
      </c>
      <c r="D778" s="141">
        <v>7811.2999999999956</v>
      </c>
      <c r="E778" s="141"/>
      <c r="F778" s="141"/>
      <c r="G778" s="141"/>
      <c r="H778" s="141"/>
      <c r="J778" s="141">
        <f t="shared" si="25"/>
        <v>0.32500000000000001</v>
      </c>
      <c r="K778" s="141">
        <f t="shared" si="26"/>
        <v>26184.720000000008</v>
      </c>
    </row>
    <row r="779" spans="1:11">
      <c r="A779" s="141">
        <v>779</v>
      </c>
      <c r="B779" s="142">
        <v>42872</v>
      </c>
      <c r="C779" s="149">
        <v>17.600000000000001</v>
      </c>
      <c r="D779" s="141">
        <v>7828.899999999996</v>
      </c>
      <c r="E779" s="141"/>
      <c r="F779" s="141"/>
      <c r="G779" s="141"/>
      <c r="H779" s="141"/>
      <c r="J779" s="141">
        <f t="shared" si="25"/>
        <v>0.25</v>
      </c>
      <c r="K779" s="141">
        <f t="shared" si="26"/>
        <v>26190.720000000008</v>
      </c>
    </row>
    <row r="780" spans="1:11">
      <c r="A780" s="141">
        <v>780</v>
      </c>
      <c r="B780" s="142">
        <v>42873</v>
      </c>
      <c r="C780" s="149">
        <v>18.600000000000001</v>
      </c>
      <c r="D780" s="141">
        <v>7847.4999999999964</v>
      </c>
      <c r="E780" s="141"/>
      <c r="F780" s="141"/>
      <c r="G780" s="141"/>
      <c r="H780" s="141"/>
      <c r="J780" s="141">
        <f t="shared" si="25"/>
        <v>0.25</v>
      </c>
      <c r="K780" s="141">
        <f t="shared" si="26"/>
        <v>26196.720000000008</v>
      </c>
    </row>
    <row r="781" spans="1:11">
      <c r="A781" s="141">
        <v>781</v>
      </c>
      <c r="B781" s="142">
        <v>42874</v>
      </c>
      <c r="C781" s="149">
        <v>19.899999999999999</v>
      </c>
      <c r="D781" s="141">
        <v>7867.399999999996</v>
      </c>
      <c r="E781" s="141"/>
      <c r="F781" s="141"/>
      <c r="G781" s="141"/>
      <c r="H781" s="141"/>
      <c r="J781" s="141">
        <f t="shared" si="25"/>
        <v>0.25</v>
      </c>
      <c r="K781" s="141">
        <f t="shared" si="26"/>
        <v>26202.720000000008</v>
      </c>
    </row>
    <row r="782" spans="1:11">
      <c r="A782" s="141">
        <v>782</v>
      </c>
      <c r="B782" s="142">
        <v>42875</v>
      </c>
      <c r="C782" s="149">
        <v>14.7</v>
      </c>
      <c r="D782" s="141">
        <v>7882.0999999999958</v>
      </c>
      <c r="E782" s="141"/>
      <c r="F782" s="141"/>
      <c r="G782" s="141"/>
      <c r="H782" s="141"/>
      <c r="J782" s="141">
        <f t="shared" si="25"/>
        <v>0.59500000000000008</v>
      </c>
      <c r="K782" s="141">
        <f t="shared" si="26"/>
        <v>26217.000000000007</v>
      </c>
    </row>
    <row r="783" spans="1:11">
      <c r="A783" s="141">
        <v>783</v>
      </c>
      <c r="B783" s="142">
        <v>42876</v>
      </c>
      <c r="C783" s="149">
        <v>15.8</v>
      </c>
      <c r="D783" s="141">
        <v>7897.899999999996</v>
      </c>
      <c r="E783" s="141"/>
      <c r="F783" s="141"/>
      <c r="G783" s="141"/>
      <c r="H783" s="141"/>
      <c r="J783" s="141">
        <f t="shared" si="25"/>
        <v>0.42999999999999988</v>
      </c>
      <c r="K783" s="141">
        <f t="shared" si="26"/>
        <v>26227.320000000007</v>
      </c>
    </row>
    <row r="784" spans="1:11">
      <c r="A784" s="141">
        <v>784</v>
      </c>
      <c r="B784" s="142">
        <v>42877</v>
      </c>
      <c r="C784" s="149">
        <v>15.3</v>
      </c>
      <c r="D784" s="141">
        <v>7913.1999999999962</v>
      </c>
      <c r="E784" s="141"/>
      <c r="F784" s="141"/>
      <c r="G784" s="141"/>
      <c r="H784" s="141"/>
      <c r="J784" s="141">
        <f t="shared" si="25"/>
        <v>0.50499999999999989</v>
      </c>
      <c r="K784" s="141">
        <f t="shared" si="26"/>
        <v>26239.440000000006</v>
      </c>
    </row>
    <row r="785" spans="1:11">
      <c r="A785" s="141">
        <v>785</v>
      </c>
      <c r="B785" s="142">
        <v>42878</v>
      </c>
      <c r="C785" s="149">
        <v>17.5</v>
      </c>
      <c r="D785" s="141">
        <v>7930.6999999999962</v>
      </c>
      <c r="E785" s="141"/>
      <c r="F785" s="141"/>
      <c r="G785" s="141"/>
      <c r="H785" s="141"/>
      <c r="J785" s="141">
        <f t="shared" si="25"/>
        <v>0.25</v>
      </c>
      <c r="K785" s="141">
        <f t="shared" si="26"/>
        <v>26245.440000000006</v>
      </c>
    </row>
    <row r="786" spans="1:11">
      <c r="A786" s="141">
        <v>786</v>
      </c>
      <c r="B786" s="142">
        <v>42879</v>
      </c>
      <c r="C786" s="149">
        <v>14.4</v>
      </c>
      <c r="D786" s="141">
        <v>7945.0999999999958</v>
      </c>
      <c r="E786" s="141"/>
      <c r="F786" s="141"/>
      <c r="G786" s="141"/>
      <c r="H786" s="141"/>
      <c r="J786" s="141">
        <f t="shared" si="25"/>
        <v>0.6399999999999999</v>
      </c>
      <c r="K786" s="141">
        <f t="shared" si="26"/>
        <v>26260.800000000007</v>
      </c>
    </row>
    <row r="787" spans="1:11">
      <c r="A787" s="141">
        <v>787</v>
      </c>
      <c r="B787" s="142">
        <v>42880</v>
      </c>
      <c r="C787" s="149">
        <v>14.2</v>
      </c>
      <c r="D787" s="141">
        <v>7959.2999999999956</v>
      </c>
      <c r="E787" s="141"/>
      <c r="F787" s="141"/>
      <c r="G787" s="141"/>
      <c r="H787" s="141"/>
      <c r="J787" s="141">
        <f t="shared" si="25"/>
        <v>0.67000000000000015</v>
      </c>
      <c r="K787" s="141">
        <f t="shared" si="26"/>
        <v>26276.880000000008</v>
      </c>
    </row>
    <row r="788" spans="1:11">
      <c r="A788" s="141">
        <v>788</v>
      </c>
      <c r="B788" s="142">
        <v>42881</v>
      </c>
      <c r="C788" s="149">
        <v>16.600000000000001</v>
      </c>
      <c r="D788" s="141">
        <v>7975.899999999996</v>
      </c>
      <c r="E788" s="141"/>
      <c r="F788" s="141"/>
      <c r="G788" s="141"/>
      <c r="H788" s="141"/>
      <c r="J788" s="141">
        <f t="shared" si="25"/>
        <v>0.30999999999999978</v>
      </c>
      <c r="K788" s="141">
        <f t="shared" si="26"/>
        <v>26284.320000000007</v>
      </c>
    </row>
    <row r="789" spans="1:11">
      <c r="A789" s="141">
        <v>789</v>
      </c>
      <c r="B789" s="142">
        <v>42882</v>
      </c>
      <c r="C789" s="149">
        <v>18.399999999999999</v>
      </c>
      <c r="D789" s="141">
        <v>7994.2999999999956</v>
      </c>
      <c r="E789" s="141"/>
      <c r="F789" s="141"/>
      <c r="G789" s="141"/>
      <c r="H789" s="141"/>
      <c r="J789" s="141">
        <f t="shared" si="25"/>
        <v>0.25</v>
      </c>
      <c r="K789" s="141">
        <f t="shared" si="26"/>
        <v>26290.320000000007</v>
      </c>
    </row>
    <row r="790" spans="1:11">
      <c r="A790" s="141">
        <v>790</v>
      </c>
      <c r="B790" s="142">
        <v>42883</v>
      </c>
      <c r="C790" s="149">
        <v>19.2</v>
      </c>
      <c r="D790" s="141">
        <v>8013.4999999999955</v>
      </c>
      <c r="E790" s="141"/>
      <c r="F790" s="141"/>
      <c r="G790" s="141"/>
      <c r="H790" s="141"/>
      <c r="J790" s="141">
        <f t="shared" si="25"/>
        <v>0.25</v>
      </c>
      <c r="K790" s="141">
        <f t="shared" si="26"/>
        <v>26296.320000000007</v>
      </c>
    </row>
    <row r="791" spans="1:11">
      <c r="A791" s="141">
        <v>791</v>
      </c>
      <c r="B791" s="142">
        <v>42884</v>
      </c>
      <c r="C791" s="149">
        <v>22.6</v>
      </c>
      <c r="D791" s="141">
        <v>8036.0999999999958</v>
      </c>
      <c r="E791" s="141"/>
      <c r="F791" s="141"/>
      <c r="G791" s="141"/>
      <c r="H791" s="141"/>
      <c r="J791" s="141">
        <f t="shared" si="25"/>
        <v>0.25</v>
      </c>
      <c r="K791" s="141">
        <f t="shared" si="26"/>
        <v>26302.320000000007</v>
      </c>
    </row>
    <row r="792" spans="1:11">
      <c r="A792" s="141">
        <v>792</v>
      </c>
      <c r="B792" s="142">
        <v>42885</v>
      </c>
      <c r="C792" s="149">
        <v>22.6</v>
      </c>
      <c r="D792" s="141">
        <v>8058.6999999999962</v>
      </c>
      <c r="E792" s="141"/>
      <c r="F792" s="141"/>
      <c r="G792" s="141"/>
      <c r="H792" s="141"/>
      <c r="J792" s="141">
        <f t="shared" si="25"/>
        <v>0.25</v>
      </c>
      <c r="K792" s="141">
        <f t="shared" si="26"/>
        <v>26308.320000000007</v>
      </c>
    </row>
    <row r="793" spans="1:11">
      <c r="A793" s="141">
        <v>793</v>
      </c>
      <c r="B793" s="142">
        <v>42886</v>
      </c>
      <c r="C793" s="149">
        <v>19.600000000000001</v>
      </c>
      <c r="D793" s="141">
        <v>8078.2999999999965</v>
      </c>
      <c r="E793" s="141"/>
      <c r="F793" s="141"/>
      <c r="G793" s="141"/>
      <c r="H793" s="141"/>
      <c r="J793" s="141">
        <f t="shared" si="25"/>
        <v>0.25</v>
      </c>
      <c r="K793" s="141">
        <f t="shared" si="26"/>
        <v>26314.320000000007</v>
      </c>
    </row>
    <row r="794" spans="1:11">
      <c r="A794" s="141">
        <v>794</v>
      </c>
      <c r="B794" s="142">
        <v>42887</v>
      </c>
      <c r="C794" s="149">
        <v>18.3</v>
      </c>
      <c r="D794" s="141">
        <v>8096.5999999999967</v>
      </c>
      <c r="E794" s="141"/>
      <c r="F794" s="141"/>
      <c r="G794" s="141"/>
      <c r="H794" s="141"/>
      <c r="J794" s="141">
        <f t="shared" si="25"/>
        <v>0.25</v>
      </c>
      <c r="K794" s="141">
        <f t="shared" si="26"/>
        <v>26320.320000000007</v>
      </c>
    </row>
    <row r="795" spans="1:11">
      <c r="A795" s="141">
        <v>795</v>
      </c>
      <c r="B795" s="142">
        <v>42888</v>
      </c>
      <c r="C795" s="149">
        <v>19.100000000000001</v>
      </c>
      <c r="D795" s="141">
        <v>8115.6999999999971</v>
      </c>
      <c r="E795" s="141"/>
      <c r="F795" s="141"/>
      <c r="G795" s="141"/>
      <c r="H795" s="141"/>
      <c r="J795" s="141">
        <f t="shared" si="25"/>
        <v>0.25</v>
      </c>
      <c r="K795" s="141">
        <f t="shared" si="26"/>
        <v>26326.320000000007</v>
      </c>
    </row>
    <row r="796" spans="1:11">
      <c r="A796" s="141">
        <v>796</v>
      </c>
      <c r="B796" s="142">
        <v>42889</v>
      </c>
      <c r="C796" s="149">
        <v>20.8</v>
      </c>
      <c r="D796" s="141">
        <v>8136.4999999999973</v>
      </c>
      <c r="E796" s="141"/>
      <c r="F796" s="141"/>
      <c r="G796" s="141"/>
      <c r="H796" s="141"/>
      <c r="J796" s="141">
        <f t="shared" si="25"/>
        <v>0.25</v>
      </c>
      <c r="K796" s="141">
        <f t="shared" si="26"/>
        <v>26332.320000000007</v>
      </c>
    </row>
    <row r="797" spans="1:11">
      <c r="A797" s="141">
        <v>797</v>
      </c>
      <c r="B797" s="142">
        <v>42890</v>
      </c>
      <c r="C797" s="149">
        <v>17.2</v>
      </c>
      <c r="D797" s="141">
        <v>8153.6999999999971</v>
      </c>
      <c r="E797" s="141"/>
      <c r="F797" s="141"/>
      <c r="G797" s="141"/>
      <c r="H797" s="141"/>
      <c r="J797" s="141">
        <f t="shared" si="25"/>
        <v>0.25</v>
      </c>
      <c r="K797" s="141">
        <f t="shared" si="26"/>
        <v>26338.320000000007</v>
      </c>
    </row>
    <row r="798" spans="1:11">
      <c r="A798" s="141">
        <v>798</v>
      </c>
      <c r="B798" s="142">
        <v>42891</v>
      </c>
      <c r="C798" s="149">
        <v>16.399999999999999</v>
      </c>
      <c r="D798" s="141">
        <v>8170.0999999999967</v>
      </c>
      <c r="E798" s="141"/>
      <c r="F798" s="141"/>
      <c r="G798" s="141"/>
      <c r="H798" s="141"/>
      <c r="J798" s="141">
        <f t="shared" si="25"/>
        <v>0.34000000000000019</v>
      </c>
      <c r="K798" s="141">
        <f t="shared" si="26"/>
        <v>26346.480000000007</v>
      </c>
    </row>
    <row r="799" spans="1:11">
      <c r="A799" s="141">
        <v>799</v>
      </c>
      <c r="B799" s="142">
        <v>42892</v>
      </c>
      <c r="C799" s="149">
        <v>17.5</v>
      </c>
      <c r="D799" s="141">
        <v>8187.5999999999967</v>
      </c>
      <c r="E799" s="141"/>
      <c r="F799" s="141"/>
      <c r="G799" s="141"/>
      <c r="H799" s="141"/>
      <c r="J799" s="141">
        <f t="shared" si="25"/>
        <v>0.25</v>
      </c>
      <c r="K799" s="141">
        <f t="shared" si="26"/>
        <v>26352.480000000007</v>
      </c>
    </row>
    <row r="800" spans="1:11">
      <c r="A800" s="141">
        <v>800</v>
      </c>
      <c r="B800" s="142">
        <v>42893</v>
      </c>
      <c r="C800" s="149">
        <v>13.899999999999999</v>
      </c>
      <c r="D800" s="141">
        <v>8201.4999999999964</v>
      </c>
      <c r="E800" s="141"/>
      <c r="F800" s="141"/>
      <c r="G800" s="141"/>
      <c r="H800" s="141"/>
      <c r="J800" s="141">
        <f t="shared" si="25"/>
        <v>0.71500000000000019</v>
      </c>
      <c r="K800" s="141">
        <f t="shared" si="26"/>
        <v>26369.640000000007</v>
      </c>
    </row>
    <row r="801" spans="1:11">
      <c r="A801" s="141">
        <v>801</v>
      </c>
      <c r="B801" s="142">
        <v>42894</v>
      </c>
      <c r="C801" s="149">
        <v>15.9</v>
      </c>
      <c r="D801" s="141">
        <v>8217.399999999996</v>
      </c>
      <c r="E801" s="141"/>
      <c r="F801" s="141"/>
      <c r="G801" s="141"/>
      <c r="H801" s="141"/>
      <c r="J801" s="141">
        <f t="shared" si="25"/>
        <v>0.41499999999999992</v>
      </c>
      <c r="K801" s="141">
        <f t="shared" si="26"/>
        <v>26379.600000000006</v>
      </c>
    </row>
    <row r="802" spans="1:11">
      <c r="A802" s="141">
        <v>802</v>
      </c>
      <c r="B802" s="142">
        <v>42895</v>
      </c>
      <c r="C802" s="149">
        <v>20</v>
      </c>
      <c r="D802" s="141">
        <v>8237.399999999996</v>
      </c>
      <c r="E802" s="141"/>
      <c r="F802" s="141"/>
      <c r="G802" s="141"/>
      <c r="H802" s="141"/>
      <c r="J802" s="141">
        <f t="shared" si="25"/>
        <v>0.25</v>
      </c>
      <c r="K802" s="141">
        <f t="shared" si="26"/>
        <v>26385.600000000006</v>
      </c>
    </row>
    <row r="803" spans="1:11">
      <c r="A803" s="141">
        <v>803</v>
      </c>
      <c r="B803" s="142">
        <v>42896</v>
      </c>
      <c r="C803" s="149">
        <v>18.2</v>
      </c>
      <c r="D803" s="141">
        <v>8255.5999999999967</v>
      </c>
      <c r="E803" s="141"/>
      <c r="F803" s="141"/>
      <c r="G803" s="141"/>
      <c r="H803" s="141"/>
      <c r="J803" s="141">
        <f t="shared" si="25"/>
        <v>0.25</v>
      </c>
      <c r="K803" s="141">
        <f t="shared" si="26"/>
        <v>26391.600000000006</v>
      </c>
    </row>
    <row r="804" spans="1:11">
      <c r="A804" s="141">
        <v>804</v>
      </c>
      <c r="B804" s="142">
        <v>42897</v>
      </c>
      <c r="C804" s="149">
        <v>19.8</v>
      </c>
      <c r="D804" s="141">
        <v>8275.399999999996</v>
      </c>
      <c r="E804" s="141"/>
      <c r="F804" s="141"/>
      <c r="G804" s="141"/>
      <c r="H804" s="141"/>
      <c r="J804" s="141">
        <f t="shared" si="25"/>
        <v>0.25</v>
      </c>
      <c r="K804" s="141">
        <f t="shared" si="26"/>
        <v>26397.600000000006</v>
      </c>
    </row>
    <row r="805" spans="1:11">
      <c r="A805" s="141">
        <v>805</v>
      </c>
      <c r="B805" s="142">
        <v>42898</v>
      </c>
      <c r="C805" s="149">
        <v>22.4</v>
      </c>
      <c r="D805" s="141">
        <v>8297.7999999999956</v>
      </c>
      <c r="E805" s="141"/>
      <c r="F805" s="141"/>
      <c r="G805" s="141"/>
      <c r="H805" s="141"/>
      <c r="J805" s="141">
        <f t="shared" si="25"/>
        <v>0.25</v>
      </c>
      <c r="K805" s="141">
        <f t="shared" si="26"/>
        <v>26403.600000000006</v>
      </c>
    </row>
    <row r="806" spans="1:11">
      <c r="A806" s="141">
        <v>806</v>
      </c>
      <c r="B806" s="142">
        <v>42899</v>
      </c>
      <c r="C806" s="149">
        <v>17.3</v>
      </c>
      <c r="D806" s="141">
        <v>8315.0999999999949</v>
      </c>
      <c r="E806" s="141"/>
      <c r="F806" s="141"/>
      <c r="G806" s="141"/>
      <c r="H806" s="141"/>
      <c r="J806" s="141">
        <f t="shared" si="25"/>
        <v>0.25</v>
      </c>
      <c r="K806" s="141">
        <f t="shared" si="26"/>
        <v>26409.600000000006</v>
      </c>
    </row>
    <row r="807" spans="1:11">
      <c r="A807" s="141">
        <v>807</v>
      </c>
      <c r="B807" s="142">
        <v>42900</v>
      </c>
      <c r="C807" s="149">
        <v>17.600000000000001</v>
      </c>
      <c r="D807" s="141">
        <v>8332.6999999999953</v>
      </c>
      <c r="E807" s="141"/>
      <c r="F807" s="141"/>
      <c r="G807" s="141"/>
      <c r="H807" s="141"/>
      <c r="J807" s="141">
        <f t="shared" si="25"/>
        <v>0.25</v>
      </c>
      <c r="K807" s="141">
        <f t="shared" si="26"/>
        <v>26415.600000000006</v>
      </c>
    </row>
    <row r="808" spans="1:11">
      <c r="A808" s="141">
        <v>808</v>
      </c>
      <c r="B808" s="142">
        <v>42901</v>
      </c>
      <c r="C808" s="149">
        <v>20.2</v>
      </c>
      <c r="D808" s="141">
        <v>8352.899999999996</v>
      </c>
      <c r="E808" s="141"/>
      <c r="F808" s="141"/>
      <c r="G808" s="141"/>
      <c r="H808" s="141"/>
      <c r="J808" s="141">
        <f t="shared" si="25"/>
        <v>0.25</v>
      </c>
      <c r="K808" s="141">
        <f t="shared" si="26"/>
        <v>26421.600000000006</v>
      </c>
    </row>
    <row r="809" spans="1:11">
      <c r="A809" s="141">
        <v>809</v>
      </c>
      <c r="B809" s="142">
        <v>42902</v>
      </c>
      <c r="C809" s="149">
        <v>18.600000000000001</v>
      </c>
      <c r="D809" s="141">
        <v>8371.4999999999964</v>
      </c>
      <c r="E809" s="141"/>
      <c r="F809" s="141"/>
      <c r="G809" s="141"/>
      <c r="H809" s="141"/>
      <c r="J809" s="141">
        <f t="shared" si="25"/>
        <v>0.25</v>
      </c>
      <c r="K809" s="141">
        <f t="shared" si="26"/>
        <v>26427.600000000006</v>
      </c>
    </row>
    <row r="810" spans="1:11">
      <c r="A810" s="141">
        <v>810</v>
      </c>
      <c r="B810" s="142">
        <v>42903</v>
      </c>
      <c r="C810" s="149">
        <v>16</v>
      </c>
      <c r="D810" s="141">
        <v>8387.4999999999964</v>
      </c>
      <c r="E810" s="141"/>
      <c r="F810" s="141"/>
      <c r="G810" s="141"/>
      <c r="H810" s="141"/>
      <c r="J810" s="141">
        <f t="shared" si="25"/>
        <v>0.4</v>
      </c>
      <c r="K810" s="141">
        <f t="shared" si="26"/>
        <v>26437.200000000004</v>
      </c>
    </row>
    <row r="811" spans="1:11">
      <c r="A811" s="141">
        <v>811</v>
      </c>
      <c r="B811" s="142">
        <v>42904</v>
      </c>
      <c r="C811" s="149">
        <v>18.8</v>
      </c>
      <c r="D811" s="141">
        <v>8406.2999999999956</v>
      </c>
      <c r="E811" s="141"/>
      <c r="F811" s="141"/>
      <c r="G811" s="141"/>
      <c r="H811" s="141"/>
      <c r="J811" s="141">
        <f t="shared" si="25"/>
        <v>0.25</v>
      </c>
      <c r="K811" s="141">
        <f t="shared" si="26"/>
        <v>26443.200000000004</v>
      </c>
    </row>
    <row r="812" spans="1:11">
      <c r="A812" s="141">
        <v>812</v>
      </c>
      <c r="B812" s="142">
        <v>42905</v>
      </c>
      <c r="C812" s="149">
        <v>21.3</v>
      </c>
      <c r="D812" s="141">
        <v>8427.5999999999949</v>
      </c>
      <c r="E812" s="141"/>
      <c r="F812" s="141"/>
      <c r="G812" s="141"/>
      <c r="H812" s="141"/>
      <c r="J812" s="141">
        <f t="shared" si="25"/>
        <v>0.25</v>
      </c>
      <c r="K812" s="141">
        <f t="shared" si="26"/>
        <v>26449.200000000004</v>
      </c>
    </row>
    <row r="813" spans="1:11">
      <c r="A813" s="141">
        <v>813</v>
      </c>
      <c r="B813" s="142">
        <v>42906</v>
      </c>
      <c r="C813" s="149">
        <v>24.4</v>
      </c>
      <c r="D813" s="141">
        <v>8451.9999999999945</v>
      </c>
      <c r="E813" s="141"/>
      <c r="F813" s="141"/>
      <c r="G813" s="141"/>
      <c r="H813" s="141"/>
      <c r="J813" s="141">
        <f t="shared" si="25"/>
        <v>0.25</v>
      </c>
      <c r="K813" s="141">
        <f t="shared" si="26"/>
        <v>26455.200000000004</v>
      </c>
    </row>
    <row r="814" spans="1:11">
      <c r="A814" s="141">
        <v>814</v>
      </c>
      <c r="B814" s="142">
        <v>42907</v>
      </c>
      <c r="C814" s="149">
        <v>22.6</v>
      </c>
      <c r="D814" s="141">
        <v>8474.5999999999949</v>
      </c>
      <c r="E814" s="141"/>
      <c r="F814" s="141"/>
      <c r="G814" s="141"/>
      <c r="H814" s="141"/>
      <c r="J814" s="141">
        <f t="shared" si="25"/>
        <v>0.25</v>
      </c>
      <c r="K814" s="141">
        <f t="shared" si="26"/>
        <v>26461.200000000004</v>
      </c>
    </row>
    <row r="815" spans="1:11">
      <c r="A815" s="141">
        <v>815</v>
      </c>
      <c r="B815" s="142">
        <v>42908</v>
      </c>
      <c r="C815" s="149">
        <v>22.4</v>
      </c>
      <c r="D815" s="141">
        <v>8496.9999999999945</v>
      </c>
      <c r="E815" s="141"/>
      <c r="F815" s="141"/>
      <c r="G815" s="141"/>
      <c r="H815" s="141"/>
      <c r="J815" s="141">
        <f t="shared" si="25"/>
        <v>0.25</v>
      </c>
      <c r="K815" s="141">
        <f t="shared" si="26"/>
        <v>26467.200000000004</v>
      </c>
    </row>
    <row r="816" spans="1:11">
      <c r="A816" s="141">
        <v>816</v>
      </c>
      <c r="B816" s="142">
        <v>42909</v>
      </c>
      <c r="C816" s="149">
        <v>20.6</v>
      </c>
      <c r="D816" s="141">
        <v>8517.5999999999949</v>
      </c>
      <c r="E816" s="141"/>
      <c r="F816" s="141"/>
      <c r="G816" s="141"/>
      <c r="H816" s="141"/>
      <c r="J816" s="141">
        <f t="shared" si="25"/>
        <v>0.25</v>
      </c>
      <c r="K816" s="141">
        <f t="shared" si="26"/>
        <v>26473.200000000004</v>
      </c>
    </row>
    <row r="817" spans="1:11">
      <c r="A817" s="141">
        <v>817</v>
      </c>
      <c r="B817" s="142">
        <v>42910</v>
      </c>
      <c r="C817" s="149">
        <v>22.4</v>
      </c>
      <c r="D817" s="141">
        <v>8539.9999999999945</v>
      </c>
      <c r="E817" s="141"/>
      <c r="F817" s="141"/>
      <c r="G817" s="141"/>
      <c r="H817" s="141"/>
      <c r="J817" s="141">
        <f t="shared" si="25"/>
        <v>0.25</v>
      </c>
      <c r="K817" s="141">
        <f t="shared" si="26"/>
        <v>26479.200000000004</v>
      </c>
    </row>
    <row r="818" spans="1:11">
      <c r="A818" s="141">
        <v>818</v>
      </c>
      <c r="B818" s="142">
        <v>42911</v>
      </c>
      <c r="C818" s="149">
        <v>21.6</v>
      </c>
      <c r="D818" s="141">
        <v>8561.5999999999949</v>
      </c>
      <c r="E818" s="141"/>
      <c r="F818" s="141"/>
      <c r="G818" s="141"/>
      <c r="H818" s="141"/>
      <c r="J818" s="141">
        <f t="shared" si="25"/>
        <v>0.25</v>
      </c>
      <c r="K818" s="141">
        <f t="shared" si="26"/>
        <v>26485.200000000004</v>
      </c>
    </row>
    <row r="819" spans="1:11">
      <c r="A819" s="141">
        <v>819</v>
      </c>
      <c r="B819" s="142">
        <v>42912</v>
      </c>
      <c r="C819" s="149">
        <v>21.1</v>
      </c>
      <c r="D819" s="141">
        <v>8582.6999999999953</v>
      </c>
      <c r="E819" s="141"/>
      <c r="F819" s="141"/>
      <c r="G819" s="141"/>
      <c r="H819" s="141"/>
      <c r="J819" s="141">
        <f t="shared" si="25"/>
        <v>0.25</v>
      </c>
      <c r="K819" s="141">
        <f t="shared" si="26"/>
        <v>26491.200000000004</v>
      </c>
    </row>
    <row r="820" spans="1:11">
      <c r="A820" s="141">
        <v>820</v>
      </c>
      <c r="B820" s="142">
        <v>42913</v>
      </c>
      <c r="C820" s="149">
        <v>18.100000000000001</v>
      </c>
      <c r="D820" s="141">
        <v>8600.7999999999956</v>
      </c>
      <c r="E820" s="141"/>
      <c r="F820" s="141"/>
      <c r="G820" s="141"/>
      <c r="H820" s="141"/>
      <c r="J820" s="141">
        <f t="shared" si="25"/>
        <v>0.25</v>
      </c>
      <c r="K820" s="141">
        <f t="shared" si="26"/>
        <v>26497.200000000004</v>
      </c>
    </row>
    <row r="821" spans="1:11">
      <c r="A821" s="141">
        <v>821</v>
      </c>
      <c r="B821" s="142">
        <v>42914</v>
      </c>
      <c r="C821" s="149">
        <v>20.100000000000001</v>
      </c>
      <c r="D821" s="141">
        <v>8620.899999999996</v>
      </c>
      <c r="E821" s="141"/>
      <c r="F821" s="141"/>
      <c r="G821" s="141"/>
      <c r="H821" s="141"/>
      <c r="J821" s="141">
        <f t="shared" si="25"/>
        <v>0.25</v>
      </c>
      <c r="K821" s="141">
        <f t="shared" si="26"/>
        <v>26503.200000000004</v>
      </c>
    </row>
    <row r="822" spans="1:11">
      <c r="A822" s="141">
        <v>822</v>
      </c>
      <c r="B822" s="142">
        <v>42915</v>
      </c>
      <c r="C822" s="149">
        <v>17.399999999999999</v>
      </c>
      <c r="D822" s="141">
        <v>8638.2999999999956</v>
      </c>
      <c r="E822" s="141"/>
      <c r="F822" s="141"/>
      <c r="G822" s="141"/>
      <c r="H822" s="141"/>
      <c r="J822" s="141">
        <f t="shared" si="25"/>
        <v>0.25</v>
      </c>
      <c r="K822" s="141">
        <f t="shared" si="26"/>
        <v>26509.200000000004</v>
      </c>
    </row>
    <row r="823" spans="1:11">
      <c r="A823" s="141">
        <v>823</v>
      </c>
      <c r="B823" s="142">
        <v>42916</v>
      </c>
      <c r="C823" s="149">
        <v>18.3</v>
      </c>
      <c r="D823" s="141">
        <v>8656.5999999999949</v>
      </c>
      <c r="E823" s="141"/>
      <c r="F823" s="141"/>
      <c r="G823" s="141"/>
      <c r="H823" s="141"/>
      <c r="J823" s="141">
        <f t="shared" si="25"/>
        <v>0.25</v>
      </c>
      <c r="K823" s="141">
        <f t="shared" si="26"/>
        <v>26515.200000000004</v>
      </c>
    </row>
    <row r="824" spans="1:11">
      <c r="A824" s="141">
        <v>824</v>
      </c>
      <c r="B824" s="142">
        <v>42917</v>
      </c>
      <c r="C824" s="149">
        <v>18.2</v>
      </c>
      <c r="D824" s="141">
        <v>8674.7999999999956</v>
      </c>
      <c r="E824" s="141"/>
      <c r="F824" s="141"/>
      <c r="G824" s="141"/>
      <c r="H824" s="141"/>
      <c r="J824" s="141">
        <f t="shared" si="25"/>
        <v>0.25</v>
      </c>
      <c r="K824" s="141">
        <f t="shared" si="26"/>
        <v>26521.200000000004</v>
      </c>
    </row>
    <row r="825" spans="1:11">
      <c r="A825" s="141">
        <v>825</v>
      </c>
      <c r="B825" s="142">
        <v>42918</v>
      </c>
      <c r="C825" s="149">
        <v>18.2</v>
      </c>
      <c r="D825" s="141">
        <v>8692.9999999999964</v>
      </c>
      <c r="E825" s="141"/>
      <c r="F825" s="141"/>
      <c r="G825" s="141"/>
      <c r="H825" s="141"/>
      <c r="J825" s="141">
        <f t="shared" si="25"/>
        <v>0.25</v>
      </c>
      <c r="K825" s="141">
        <f t="shared" si="26"/>
        <v>26527.200000000004</v>
      </c>
    </row>
    <row r="826" spans="1:11">
      <c r="A826" s="141">
        <v>826</v>
      </c>
      <c r="B826" s="142">
        <v>42919</v>
      </c>
      <c r="C826" s="149">
        <v>18</v>
      </c>
      <c r="D826" s="141">
        <v>8710.9999999999964</v>
      </c>
      <c r="E826" s="141"/>
      <c r="F826" s="141"/>
      <c r="G826" s="141"/>
      <c r="H826" s="141"/>
      <c r="J826" s="141">
        <f t="shared" si="25"/>
        <v>0.25</v>
      </c>
      <c r="K826" s="141">
        <f t="shared" si="26"/>
        <v>26533.200000000004</v>
      </c>
    </row>
    <row r="827" spans="1:11">
      <c r="A827" s="141">
        <v>827</v>
      </c>
      <c r="B827" s="142">
        <v>42920</v>
      </c>
      <c r="C827" s="149">
        <v>18.8</v>
      </c>
      <c r="D827" s="141">
        <v>8729.7999999999956</v>
      </c>
      <c r="E827" s="141"/>
      <c r="F827" s="141"/>
      <c r="G827" s="141"/>
      <c r="H827" s="141"/>
      <c r="J827" s="141">
        <f t="shared" si="25"/>
        <v>0.25</v>
      </c>
      <c r="K827" s="141">
        <f t="shared" si="26"/>
        <v>26539.200000000004</v>
      </c>
    </row>
    <row r="828" spans="1:11">
      <c r="A828" s="141">
        <v>828</v>
      </c>
      <c r="B828" s="142">
        <v>42921</v>
      </c>
      <c r="C828" s="149">
        <v>19.8</v>
      </c>
      <c r="D828" s="141">
        <v>8749.5999999999949</v>
      </c>
      <c r="E828" s="141"/>
      <c r="F828" s="141"/>
      <c r="G828" s="141"/>
      <c r="H828" s="141"/>
      <c r="J828" s="141">
        <f t="shared" si="25"/>
        <v>0.25</v>
      </c>
      <c r="K828" s="141">
        <f t="shared" si="26"/>
        <v>26545.200000000004</v>
      </c>
    </row>
    <row r="829" spans="1:11">
      <c r="A829" s="141">
        <v>829</v>
      </c>
      <c r="B829" s="142">
        <v>42922</v>
      </c>
      <c r="C829" s="149">
        <v>20.3</v>
      </c>
      <c r="D829" s="141">
        <v>8769.8999999999942</v>
      </c>
      <c r="E829" s="141"/>
      <c r="F829" s="141"/>
      <c r="G829" s="141"/>
      <c r="H829" s="141"/>
      <c r="J829" s="141">
        <f t="shared" si="25"/>
        <v>0.25</v>
      </c>
      <c r="K829" s="141">
        <f t="shared" si="26"/>
        <v>26551.200000000004</v>
      </c>
    </row>
    <row r="830" spans="1:11">
      <c r="A830" s="141">
        <v>830</v>
      </c>
      <c r="B830" s="142">
        <v>42923</v>
      </c>
      <c r="C830" s="149">
        <v>22</v>
      </c>
      <c r="D830" s="141">
        <v>8791.8999999999942</v>
      </c>
      <c r="E830" s="141"/>
      <c r="F830" s="141"/>
      <c r="G830" s="141"/>
      <c r="H830" s="141"/>
      <c r="J830" s="141">
        <f t="shared" si="25"/>
        <v>0.25</v>
      </c>
      <c r="K830" s="141">
        <f t="shared" si="26"/>
        <v>26557.200000000004</v>
      </c>
    </row>
    <row r="831" spans="1:11">
      <c r="A831" s="141">
        <v>831</v>
      </c>
      <c r="B831" s="142">
        <v>42924</v>
      </c>
      <c r="C831" s="149">
        <v>22.8</v>
      </c>
      <c r="D831" s="141">
        <v>8814.6999999999935</v>
      </c>
      <c r="E831" s="141"/>
      <c r="F831" s="141"/>
      <c r="G831" s="141"/>
      <c r="H831" s="141"/>
      <c r="J831" s="141">
        <f t="shared" si="25"/>
        <v>0.25</v>
      </c>
      <c r="K831" s="141">
        <f t="shared" si="26"/>
        <v>26563.200000000004</v>
      </c>
    </row>
    <row r="832" spans="1:11">
      <c r="A832" s="141">
        <v>832</v>
      </c>
      <c r="B832" s="142">
        <v>42925</v>
      </c>
      <c r="C832" s="149">
        <v>22.8</v>
      </c>
      <c r="D832" s="141">
        <v>8837.4999999999927</v>
      </c>
      <c r="E832" s="141"/>
      <c r="F832" s="141"/>
      <c r="G832" s="141"/>
      <c r="H832" s="141"/>
      <c r="J832" s="141">
        <f t="shared" si="25"/>
        <v>0.25</v>
      </c>
      <c r="K832" s="141">
        <f t="shared" si="26"/>
        <v>26569.200000000004</v>
      </c>
    </row>
    <row r="833" spans="1:11">
      <c r="A833" s="141">
        <v>833</v>
      </c>
      <c r="B833" s="142">
        <v>42926</v>
      </c>
      <c r="C833" s="149">
        <v>24.2</v>
      </c>
      <c r="D833" s="141">
        <v>8861.6999999999935</v>
      </c>
      <c r="E833" s="141"/>
      <c r="F833" s="141"/>
      <c r="G833" s="141"/>
      <c r="H833" s="141"/>
      <c r="J833" s="141">
        <f t="shared" si="25"/>
        <v>0.25</v>
      </c>
      <c r="K833" s="141">
        <f t="shared" si="26"/>
        <v>26575.200000000004</v>
      </c>
    </row>
    <row r="834" spans="1:11">
      <c r="A834" s="141">
        <v>834</v>
      </c>
      <c r="B834" s="142">
        <v>42927</v>
      </c>
      <c r="C834" s="149">
        <v>20.2</v>
      </c>
      <c r="D834" s="141">
        <v>8881.8999999999942</v>
      </c>
      <c r="E834" s="141"/>
      <c r="F834" s="141"/>
      <c r="G834" s="141"/>
      <c r="H834" s="141"/>
      <c r="J834" s="141">
        <f t="shared" si="25"/>
        <v>0.25</v>
      </c>
      <c r="K834" s="141">
        <f t="shared" si="26"/>
        <v>26581.200000000004</v>
      </c>
    </row>
    <row r="835" spans="1:11">
      <c r="A835" s="141">
        <v>835</v>
      </c>
      <c r="B835" s="142">
        <v>42928</v>
      </c>
      <c r="C835" s="149">
        <v>19.100000000000001</v>
      </c>
      <c r="D835" s="141">
        <v>8900.9999999999945</v>
      </c>
      <c r="E835" s="141"/>
      <c r="F835" s="141"/>
      <c r="G835" s="141"/>
      <c r="H835" s="141"/>
      <c r="J835" s="141">
        <f t="shared" si="25"/>
        <v>0.25</v>
      </c>
      <c r="K835" s="141">
        <f t="shared" si="26"/>
        <v>26587.200000000004</v>
      </c>
    </row>
    <row r="836" spans="1:11">
      <c r="A836" s="141">
        <v>836</v>
      </c>
      <c r="B836" s="142">
        <v>42929</v>
      </c>
      <c r="C836" s="149">
        <v>15.5</v>
      </c>
      <c r="D836" s="141">
        <v>8916.4999999999945</v>
      </c>
      <c r="E836" s="141"/>
      <c r="F836" s="141"/>
      <c r="G836" s="141"/>
      <c r="H836" s="141"/>
      <c r="J836" s="141">
        <f t="shared" si="25"/>
        <v>0.47499999999999998</v>
      </c>
      <c r="K836" s="141">
        <f t="shared" si="26"/>
        <v>26598.600000000006</v>
      </c>
    </row>
    <row r="837" spans="1:11">
      <c r="A837" s="141">
        <v>837</v>
      </c>
      <c r="B837" s="142">
        <v>42930</v>
      </c>
      <c r="C837" s="149">
        <v>14.8</v>
      </c>
      <c r="D837" s="141">
        <v>8931.2999999999938</v>
      </c>
      <c r="E837" s="141"/>
      <c r="F837" s="141"/>
      <c r="G837" s="141"/>
      <c r="H837" s="141"/>
      <c r="J837" s="141">
        <f t="shared" si="25"/>
        <v>0.57999999999999985</v>
      </c>
      <c r="K837" s="141">
        <f t="shared" si="26"/>
        <v>26612.520000000004</v>
      </c>
    </row>
    <row r="838" spans="1:11">
      <c r="A838" s="141">
        <v>838</v>
      </c>
      <c r="B838" s="142">
        <v>42931</v>
      </c>
      <c r="C838" s="149">
        <v>14.2</v>
      </c>
      <c r="D838" s="141">
        <v>8945.4999999999945</v>
      </c>
      <c r="E838" s="141"/>
      <c r="F838" s="141"/>
      <c r="G838" s="141"/>
      <c r="H838" s="141"/>
      <c r="J838" s="141">
        <f t="shared" si="25"/>
        <v>0.67000000000000015</v>
      </c>
      <c r="K838" s="141">
        <f t="shared" si="26"/>
        <v>26628.600000000006</v>
      </c>
    </row>
    <row r="839" spans="1:11">
      <c r="A839" s="141">
        <v>839</v>
      </c>
      <c r="B839" s="142">
        <v>42932</v>
      </c>
      <c r="C839" s="149">
        <v>17.399999999999999</v>
      </c>
      <c r="D839" s="141">
        <v>8962.8999999999942</v>
      </c>
      <c r="E839" s="141"/>
      <c r="F839" s="141"/>
      <c r="G839" s="141"/>
      <c r="H839" s="141"/>
      <c r="J839" s="141">
        <f t="shared" ref="J839:J902" si="27">J$1+(IF(J$3-$C839&gt;0,J$3-$C839,0)*J$2/30)</f>
        <v>0.25</v>
      </c>
      <c r="K839" s="141">
        <f t="shared" ref="K839:K902" si="28">K838+J839*24</f>
        <v>26634.600000000006</v>
      </c>
    </row>
    <row r="840" spans="1:11">
      <c r="A840" s="141">
        <v>840</v>
      </c>
      <c r="B840" s="142">
        <v>42933</v>
      </c>
      <c r="C840" s="149">
        <v>20.5</v>
      </c>
      <c r="D840" s="141">
        <v>8983.3999999999942</v>
      </c>
      <c r="E840" s="141"/>
      <c r="F840" s="141"/>
      <c r="G840" s="141"/>
      <c r="H840" s="141"/>
      <c r="J840" s="141">
        <f t="shared" si="27"/>
        <v>0.25</v>
      </c>
      <c r="K840" s="141">
        <f t="shared" si="28"/>
        <v>26640.600000000006</v>
      </c>
    </row>
    <row r="841" spans="1:11">
      <c r="A841" s="141">
        <v>841</v>
      </c>
      <c r="B841" s="142">
        <v>42934</v>
      </c>
      <c r="C841" s="149">
        <v>20.6</v>
      </c>
      <c r="D841" s="141">
        <v>9003.9999999999945</v>
      </c>
      <c r="E841" s="141"/>
      <c r="F841" s="141"/>
      <c r="G841" s="141"/>
      <c r="H841" s="141"/>
      <c r="J841" s="141">
        <f t="shared" si="27"/>
        <v>0.25</v>
      </c>
      <c r="K841" s="141">
        <f t="shared" si="28"/>
        <v>26646.600000000006</v>
      </c>
    </row>
    <row r="842" spans="1:11">
      <c r="A842" s="141">
        <v>842</v>
      </c>
      <c r="B842" s="142">
        <v>42935</v>
      </c>
      <c r="C842" s="149">
        <v>23.5</v>
      </c>
      <c r="D842" s="141">
        <v>9027.4999999999945</v>
      </c>
      <c r="E842" s="141"/>
      <c r="F842" s="141"/>
      <c r="G842" s="141"/>
      <c r="H842" s="141"/>
      <c r="J842" s="141">
        <f t="shared" si="27"/>
        <v>0.25</v>
      </c>
      <c r="K842" s="141">
        <f t="shared" si="28"/>
        <v>26652.600000000006</v>
      </c>
    </row>
    <row r="843" spans="1:11">
      <c r="A843" s="141">
        <v>843</v>
      </c>
      <c r="B843" s="142">
        <v>42936</v>
      </c>
      <c r="C843" s="149">
        <v>22.8</v>
      </c>
      <c r="D843" s="141">
        <v>9050.2999999999938</v>
      </c>
      <c r="E843" s="141"/>
      <c r="F843" s="141"/>
      <c r="G843" s="141"/>
      <c r="H843" s="141"/>
      <c r="J843" s="141">
        <f t="shared" si="27"/>
        <v>0.25</v>
      </c>
      <c r="K843" s="141">
        <f t="shared" si="28"/>
        <v>26658.600000000006</v>
      </c>
    </row>
    <row r="844" spans="1:11">
      <c r="A844" s="141">
        <v>844</v>
      </c>
      <c r="B844" s="142">
        <v>42937</v>
      </c>
      <c r="C844" s="149">
        <v>22.4</v>
      </c>
      <c r="D844" s="141">
        <v>9072.6999999999935</v>
      </c>
      <c r="E844" s="141"/>
      <c r="F844" s="141"/>
      <c r="G844" s="141"/>
      <c r="H844" s="141"/>
      <c r="J844" s="141">
        <f t="shared" si="27"/>
        <v>0.25</v>
      </c>
      <c r="K844" s="141">
        <f t="shared" si="28"/>
        <v>26664.600000000006</v>
      </c>
    </row>
    <row r="845" spans="1:11">
      <c r="A845" s="141">
        <v>845</v>
      </c>
      <c r="B845" s="142">
        <v>42938</v>
      </c>
      <c r="C845" s="149">
        <v>22.7</v>
      </c>
      <c r="D845" s="141">
        <v>9095.3999999999942</v>
      </c>
      <c r="E845" s="141"/>
      <c r="F845" s="141"/>
      <c r="G845" s="141"/>
      <c r="H845" s="141"/>
      <c r="J845" s="141">
        <f t="shared" si="27"/>
        <v>0.25</v>
      </c>
      <c r="K845" s="141">
        <f t="shared" si="28"/>
        <v>26670.600000000006</v>
      </c>
    </row>
    <row r="846" spans="1:11">
      <c r="A846" s="141">
        <v>846</v>
      </c>
      <c r="B846" s="142">
        <v>42939</v>
      </c>
      <c r="C846" s="149">
        <v>20.7</v>
      </c>
      <c r="D846" s="141">
        <v>9116.0999999999949</v>
      </c>
      <c r="E846" s="141"/>
      <c r="F846" s="141"/>
      <c r="G846" s="141"/>
      <c r="H846" s="141"/>
      <c r="J846" s="141">
        <f t="shared" si="27"/>
        <v>0.25</v>
      </c>
      <c r="K846" s="141">
        <f t="shared" si="28"/>
        <v>26676.600000000006</v>
      </c>
    </row>
    <row r="847" spans="1:11">
      <c r="A847" s="141">
        <v>847</v>
      </c>
      <c r="B847" s="142">
        <v>42940</v>
      </c>
      <c r="C847" s="149">
        <v>17.2</v>
      </c>
      <c r="D847" s="141">
        <v>9133.2999999999956</v>
      </c>
      <c r="E847" s="141"/>
      <c r="F847" s="141"/>
      <c r="G847" s="141"/>
      <c r="H847" s="141"/>
      <c r="J847" s="141">
        <f t="shared" si="27"/>
        <v>0.25</v>
      </c>
      <c r="K847" s="141">
        <f t="shared" si="28"/>
        <v>26682.600000000006</v>
      </c>
    </row>
    <row r="848" spans="1:11">
      <c r="A848" s="141">
        <v>848</v>
      </c>
      <c r="B848" s="142">
        <v>42941</v>
      </c>
      <c r="C848" s="149">
        <v>16.100000000000001</v>
      </c>
      <c r="D848" s="141">
        <v>9149.399999999996</v>
      </c>
      <c r="E848" s="141"/>
      <c r="F848" s="141"/>
      <c r="G848" s="141"/>
      <c r="H848" s="141"/>
      <c r="J848" s="141">
        <f t="shared" si="27"/>
        <v>0.38499999999999979</v>
      </c>
      <c r="K848" s="141">
        <f t="shared" si="28"/>
        <v>26691.840000000007</v>
      </c>
    </row>
    <row r="849" spans="1:11">
      <c r="A849" s="141">
        <v>849</v>
      </c>
      <c r="B849" s="142">
        <v>42942</v>
      </c>
      <c r="C849" s="149">
        <v>16.399999999999999</v>
      </c>
      <c r="D849" s="141">
        <v>9165.7999999999956</v>
      </c>
      <c r="E849" s="141"/>
      <c r="F849" s="141"/>
      <c r="G849" s="141"/>
      <c r="H849" s="141"/>
      <c r="J849" s="141">
        <f t="shared" si="27"/>
        <v>0.34000000000000019</v>
      </c>
      <c r="K849" s="141">
        <f t="shared" si="28"/>
        <v>26700.000000000007</v>
      </c>
    </row>
    <row r="850" spans="1:11">
      <c r="A850" s="141">
        <v>850</v>
      </c>
      <c r="B850" s="142">
        <v>42943</v>
      </c>
      <c r="C850" s="149">
        <v>17.3</v>
      </c>
      <c r="D850" s="141">
        <v>9183.0999999999949</v>
      </c>
      <c r="E850" s="141"/>
      <c r="F850" s="141"/>
      <c r="G850" s="141"/>
      <c r="H850" s="141"/>
      <c r="J850" s="141">
        <f t="shared" si="27"/>
        <v>0.25</v>
      </c>
      <c r="K850" s="141">
        <f t="shared" si="28"/>
        <v>26706.000000000007</v>
      </c>
    </row>
    <row r="851" spans="1:11">
      <c r="A851" s="141">
        <v>851</v>
      </c>
      <c r="B851" s="142">
        <v>42944</v>
      </c>
      <c r="C851" s="149">
        <v>19.3</v>
      </c>
      <c r="D851" s="141">
        <v>9202.3999999999942</v>
      </c>
      <c r="E851" s="141"/>
      <c r="F851" s="141"/>
      <c r="G851" s="141"/>
      <c r="H851" s="141"/>
      <c r="J851" s="141">
        <f t="shared" si="27"/>
        <v>0.25</v>
      </c>
      <c r="K851" s="141">
        <f t="shared" si="28"/>
        <v>26712.000000000007</v>
      </c>
    </row>
    <row r="852" spans="1:11">
      <c r="A852" s="141">
        <v>852</v>
      </c>
      <c r="B852" s="142">
        <v>42945</v>
      </c>
      <c r="C852" s="149">
        <v>20.9</v>
      </c>
      <c r="D852" s="141">
        <v>9223.2999999999938</v>
      </c>
      <c r="E852" s="141"/>
      <c r="F852" s="141"/>
      <c r="G852" s="141"/>
      <c r="H852" s="141"/>
      <c r="J852" s="141">
        <f t="shared" si="27"/>
        <v>0.25</v>
      </c>
      <c r="K852" s="141">
        <f t="shared" si="28"/>
        <v>26718.000000000007</v>
      </c>
    </row>
    <row r="853" spans="1:11">
      <c r="A853" s="141">
        <v>853</v>
      </c>
      <c r="B853" s="142">
        <v>42946</v>
      </c>
      <c r="C853" s="149">
        <v>23.7</v>
      </c>
      <c r="D853" s="141">
        <v>9246.9999999999945</v>
      </c>
      <c r="E853" s="141"/>
      <c r="F853" s="141"/>
      <c r="G853" s="141"/>
      <c r="H853" s="141"/>
      <c r="J853" s="141">
        <f t="shared" si="27"/>
        <v>0.25</v>
      </c>
      <c r="K853" s="141">
        <f t="shared" si="28"/>
        <v>26724.000000000007</v>
      </c>
    </row>
    <row r="854" spans="1:11">
      <c r="A854" s="141">
        <v>854</v>
      </c>
      <c r="B854" s="142">
        <v>42947</v>
      </c>
      <c r="C854" s="149">
        <v>24.6</v>
      </c>
      <c r="D854" s="141">
        <v>9271.5999999999949</v>
      </c>
      <c r="E854" s="141"/>
      <c r="F854" s="141"/>
      <c r="G854" s="141"/>
      <c r="H854" s="141"/>
      <c r="J854" s="141">
        <f t="shared" si="27"/>
        <v>0.25</v>
      </c>
      <c r="K854" s="141">
        <f t="shared" si="28"/>
        <v>26730.000000000007</v>
      </c>
    </row>
    <row r="855" spans="1:11">
      <c r="A855" s="141">
        <v>855</v>
      </c>
      <c r="B855" s="142">
        <v>42948</v>
      </c>
      <c r="C855" s="149">
        <v>25.8</v>
      </c>
      <c r="D855" s="141">
        <v>9297.3999999999942</v>
      </c>
      <c r="E855" s="141"/>
      <c r="F855" s="141"/>
      <c r="G855" s="141"/>
      <c r="H855" s="141"/>
      <c r="J855" s="141">
        <f t="shared" si="27"/>
        <v>0.25</v>
      </c>
      <c r="K855" s="141">
        <f t="shared" si="28"/>
        <v>26736.000000000007</v>
      </c>
    </row>
    <row r="856" spans="1:11">
      <c r="A856" s="141">
        <v>856</v>
      </c>
      <c r="B856" s="142">
        <v>42949</v>
      </c>
      <c r="C856" s="149">
        <v>24.7</v>
      </c>
      <c r="D856" s="141">
        <v>9322.0999999999949</v>
      </c>
      <c r="E856" s="141"/>
      <c r="F856" s="141"/>
      <c r="G856" s="141"/>
      <c r="H856" s="141"/>
      <c r="J856" s="141">
        <f t="shared" si="27"/>
        <v>0.25</v>
      </c>
      <c r="K856" s="141">
        <f t="shared" si="28"/>
        <v>26742.000000000007</v>
      </c>
    </row>
    <row r="857" spans="1:11">
      <c r="A857" s="141">
        <v>857</v>
      </c>
      <c r="B857" s="142">
        <v>42950</v>
      </c>
      <c r="C857" s="149">
        <v>23</v>
      </c>
      <c r="D857" s="141">
        <v>9345.0999999999949</v>
      </c>
      <c r="E857" s="141"/>
      <c r="F857" s="141"/>
      <c r="G857" s="141"/>
      <c r="H857" s="141"/>
      <c r="J857" s="141">
        <f t="shared" si="27"/>
        <v>0.25</v>
      </c>
      <c r="K857" s="141">
        <f t="shared" si="28"/>
        <v>26748.000000000007</v>
      </c>
    </row>
    <row r="858" spans="1:11">
      <c r="A858" s="141">
        <v>858</v>
      </c>
      <c r="B858" s="142">
        <v>42951</v>
      </c>
      <c r="C858" s="149">
        <v>23.8</v>
      </c>
      <c r="D858" s="141">
        <v>9368.8999999999942</v>
      </c>
      <c r="E858" s="141"/>
      <c r="F858" s="141"/>
      <c r="G858" s="141"/>
      <c r="H858" s="141"/>
      <c r="J858" s="141">
        <f t="shared" si="27"/>
        <v>0.25</v>
      </c>
      <c r="K858" s="141">
        <f t="shared" si="28"/>
        <v>26754.000000000007</v>
      </c>
    </row>
    <row r="859" spans="1:11">
      <c r="A859" s="141">
        <v>859</v>
      </c>
      <c r="B859" s="142">
        <v>42952</v>
      </c>
      <c r="C859" s="149">
        <v>23.4</v>
      </c>
      <c r="D859" s="141">
        <v>9392.2999999999938</v>
      </c>
      <c r="E859" s="141"/>
      <c r="F859" s="141"/>
      <c r="G859" s="141"/>
      <c r="H859" s="141"/>
      <c r="J859" s="141">
        <f t="shared" si="27"/>
        <v>0.25</v>
      </c>
      <c r="K859" s="141">
        <f t="shared" si="28"/>
        <v>26760.000000000007</v>
      </c>
    </row>
    <row r="860" spans="1:11">
      <c r="A860" s="141">
        <v>860</v>
      </c>
      <c r="B860" s="142">
        <v>42953</v>
      </c>
      <c r="C860" s="149">
        <v>19</v>
      </c>
      <c r="D860" s="141">
        <v>9411.2999999999938</v>
      </c>
      <c r="E860" s="141"/>
      <c r="F860" s="141"/>
      <c r="G860" s="141"/>
      <c r="H860" s="141"/>
      <c r="J860" s="141">
        <f t="shared" si="27"/>
        <v>0.25</v>
      </c>
      <c r="K860" s="141">
        <f t="shared" si="28"/>
        <v>26766.000000000007</v>
      </c>
    </row>
    <row r="861" spans="1:11">
      <c r="A861" s="141">
        <v>861</v>
      </c>
      <c r="B861" s="142">
        <v>42954</v>
      </c>
      <c r="C861" s="149">
        <v>18.399999999999999</v>
      </c>
      <c r="D861" s="141">
        <v>9429.6999999999935</v>
      </c>
      <c r="E861" s="141"/>
      <c r="F861" s="141"/>
      <c r="G861" s="141"/>
      <c r="H861" s="141"/>
      <c r="J861" s="141">
        <f t="shared" si="27"/>
        <v>0.25</v>
      </c>
      <c r="K861" s="141">
        <f t="shared" si="28"/>
        <v>26772.000000000007</v>
      </c>
    </row>
    <row r="862" spans="1:11">
      <c r="A862" s="141">
        <v>862</v>
      </c>
      <c r="B862" s="142">
        <v>42955</v>
      </c>
      <c r="C862" s="149">
        <v>19.8</v>
      </c>
      <c r="D862" s="141">
        <v>9449.4999999999927</v>
      </c>
      <c r="E862" s="141"/>
      <c r="F862" s="141"/>
      <c r="G862" s="141"/>
      <c r="H862" s="141"/>
      <c r="J862" s="141">
        <f t="shared" si="27"/>
        <v>0.25</v>
      </c>
      <c r="K862" s="141">
        <f t="shared" si="28"/>
        <v>26778.000000000007</v>
      </c>
    </row>
    <row r="863" spans="1:11">
      <c r="A863" s="141">
        <v>863</v>
      </c>
      <c r="B863" s="142">
        <v>42956</v>
      </c>
      <c r="C863" s="149">
        <v>20.8</v>
      </c>
      <c r="D863" s="141">
        <v>9470.299999999992</v>
      </c>
      <c r="E863" s="141"/>
      <c r="F863" s="141"/>
      <c r="G863" s="141"/>
      <c r="H863" s="141"/>
      <c r="J863" s="141">
        <f t="shared" si="27"/>
        <v>0.25</v>
      </c>
      <c r="K863" s="141">
        <f t="shared" si="28"/>
        <v>26784.000000000007</v>
      </c>
    </row>
    <row r="864" spans="1:11">
      <c r="A864" s="141">
        <v>864</v>
      </c>
      <c r="B864" s="142">
        <v>42957</v>
      </c>
      <c r="C864" s="149">
        <v>21.9</v>
      </c>
      <c r="D864" s="141">
        <v>9492.1999999999916</v>
      </c>
      <c r="E864" s="141"/>
      <c r="F864" s="141"/>
      <c r="G864" s="141"/>
      <c r="H864" s="141"/>
      <c r="J864" s="141">
        <f t="shared" si="27"/>
        <v>0.25</v>
      </c>
      <c r="K864" s="141">
        <f t="shared" si="28"/>
        <v>26790.000000000007</v>
      </c>
    </row>
    <row r="865" spans="1:11">
      <c r="A865" s="141">
        <v>865</v>
      </c>
      <c r="B865" s="142">
        <v>42958</v>
      </c>
      <c r="C865" s="149">
        <v>16.600000000000001</v>
      </c>
      <c r="D865" s="141">
        <v>9508.799999999992</v>
      </c>
      <c r="E865" s="141"/>
      <c r="F865" s="141"/>
      <c r="G865" s="141"/>
      <c r="H865" s="141"/>
      <c r="J865" s="141">
        <f t="shared" si="27"/>
        <v>0.30999999999999978</v>
      </c>
      <c r="K865" s="141">
        <f t="shared" si="28"/>
        <v>26797.440000000006</v>
      </c>
    </row>
    <row r="866" spans="1:11">
      <c r="A866" s="141">
        <v>866</v>
      </c>
      <c r="B866" s="142">
        <v>42959</v>
      </c>
      <c r="C866" s="149">
        <v>16.399999999999999</v>
      </c>
      <c r="D866" s="141">
        <v>9525.1999999999916</v>
      </c>
      <c r="E866" s="141"/>
      <c r="F866" s="141"/>
      <c r="G866" s="141"/>
      <c r="H866" s="141"/>
      <c r="J866" s="141">
        <f t="shared" si="27"/>
        <v>0.34000000000000019</v>
      </c>
      <c r="K866" s="141">
        <f t="shared" si="28"/>
        <v>26805.600000000006</v>
      </c>
    </row>
    <row r="867" spans="1:11">
      <c r="A867" s="141">
        <v>867</v>
      </c>
      <c r="B867" s="142">
        <v>42960</v>
      </c>
      <c r="C867" s="149">
        <v>18.600000000000001</v>
      </c>
      <c r="D867" s="141">
        <v>9543.799999999992</v>
      </c>
      <c r="E867" s="141"/>
      <c r="F867" s="141"/>
      <c r="G867" s="141"/>
      <c r="H867" s="141"/>
      <c r="J867" s="141">
        <f t="shared" si="27"/>
        <v>0.25</v>
      </c>
      <c r="K867" s="141">
        <f t="shared" si="28"/>
        <v>26811.600000000006</v>
      </c>
    </row>
    <row r="868" spans="1:11">
      <c r="A868" s="141">
        <v>868</v>
      </c>
      <c r="B868" s="142">
        <v>42961</v>
      </c>
      <c r="C868" s="149">
        <v>17.899999999999999</v>
      </c>
      <c r="D868" s="141">
        <v>9561.6999999999916</v>
      </c>
      <c r="E868" s="141"/>
      <c r="F868" s="141"/>
      <c r="G868" s="141"/>
      <c r="H868" s="141"/>
      <c r="J868" s="141">
        <f t="shared" si="27"/>
        <v>0.25</v>
      </c>
      <c r="K868" s="141">
        <f t="shared" si="28"/>
        <v>26817.600000000006</v>
      </c>
    </row>
    <row r="869" spans="1:11">
      <c r="A869" s="141">
        <v>869</v>
      </c>
      <c r="B869" s="142">
        <v>42962</v>
      </c>
      <c r="C869" s="149">
        <v>21</v>
      </c>
      <c r="D869" s="141">
        <v>9582.6999999999916</v>
      </c>
      <c r="E869" s="141"/>
      <c r="F869" s="141"/>
      <c r="G869" s="141"/>
      <c r="H869" s="141"/>
      <c r="J869" s="141">
        <f t="shared" si="27"/>
        <v>0.25</v>
      </c>
      <c r="K869" s="141">
        <f t="shared" si="28"/>
        <v>26823.600000000006</v>
      </c>
    </row>
    <row r="870" spans="1:11">
      <c r="A870" s="141">
        <v>870</v>
      </c>
      <c r="B870" s="142">
        <v>42963</v>
      </c>
      <c r="C870" s="149">
        <v>19.5</v>
      </c>
      <c r="D870" s="141">
        <v>9602.1999999999916</v>
      </c>
      <c r="E870" s="141"/>
      <c r="F870" s="141"/>
      <c r="G870" s="141"/>
      <c r="H870" s="141"/>
      <c r="J870" s="141">
        <f t="shared" si="27"/>
        <v>0.25</v>
      </c>
      <c r="K870" s="141">
        <f t="shared" si="28"/>
        <v>26829.600000000006</v>
      </c>
    </row>
    <row r="871" spans="1:11">
      <c r="A871" s="141">
        <v>871</v>
      </c>
      <c r="B871" s="142">
        <v>42964</v>
      </c>
      <c r="C871" s="149">
        <v>18.5</v>
      </c>
      <c r="D871" s="141">
        <v>9620.6999999999916</v>
      </c>
      <c r="E871" s="141"/>
      <c r="F871" s="141"/>
      <c r="G871" s="141"/>
      <c r="H871" s="141"/>
      <c r="J871" s="141">
        <f t="shared" si="27"/>
        <v>0.25</v>
      </c>
      <c r="K871" s="141">
        <f t="shared" si="28"/>
        <v>26835.600000000006</v>
      </c>
    </row>
    <row r="872" spans="1:11">
      <c r="A872" s="141">
        <v>872</v>
      </c>
      <c r="B872" s="142">
        <v>42965</v>
      </c>
      <c r="C872" s="149">
        <v>23.7</v>
      </c>
      <c r="D872" s="141">
        <v>9644.3999999999924</v>
      </c>
      <c r="E872" s="141"/>
      <c r="F872" s="141"/>
      <c r="G872" s="141"/>
      <c r="H872" s="141"/>
      <c r="J872" s="141">
        <f t="shared" si="27"/>
        <v>0.25</v>
      </c>
      <c r="K872" s="141">
        <f t="shared" si="28"/>
        <v>26841.600000000006</v>
      </c>
    </row>
    <row r="873" spans="1:11">
      <c r="A873" s="141">
        <v>873</v>
      </c>
      <c r="B873" s="142">
        <v>42966</v>
      </c>
      <c r="C873" s="149">
        <v>18.2</v>
      </c>
      <c r="D873" s="141">
        <v>9662.5999999999931</v>
      </c>
      <c r="E873" s="141"/>
      <c r="F873" s="141"/>
      <c r="G873" s="141"/>
      <c r="H873" s="141"/>
      <c r="J873" s="141">
        <f t="shared" si="27"/>
        <v>0.25</v>
      </c>
      <c r="K873" s="141">
        <f t="shared" si="28"/>
        <v>26847.600000000006</v>
      </c>
    </row>
    <row r="874" spans="1:11">
      <c r="A874" s="141">
        <v>874</v>
      </c>
      <c r="B874" s="142">
        <v>42967</v>
      </c>
      <c r="C874" s="149">
        <v>16.7</v>
      </c>
      <c r="D874" s="141">
        <v>9679.2999999999938</v>
      </c>
      <c r="E874" s="141"/>
      <c r="F874" s="141"/>
      <c r="G874" s="141"/>
      <c r="H874" s="141"/>
      <c r="J874" s="141">
        <f t="shared" si="27"/>
        <v>0.2950000000000001</v>
      </c>
      <c r="K874" s="141">
        <f t="shared" si="28"/>
        <v>26854.680000000008</v>
      </c>
    </row>
    <row r="875" spans="1:11">
      <c r="A875" s="141">
        <v>875</v>
      </c>
      <c r="B875" s="142">
        <v>42968</v>
      </c>
      <c r="C875" s="149">
        <v>15.7</v>
      </c>
      <c r="D875" s="141">
        <v>9694.9999999999945</v>
      </c>
      <c r="E875" s="141"/>
      <c r="F875" s="141"/>
      <c r="G875" s="141"/>
      <c r="H875" s="141"/>
      <c r="J875" s="141">
        <f t="shared" si="27"/>
        <v>0.44500000000000012</v>
      </c>
      <c r="K875" s="141">
        <f t="shared" si="28"/>
        <v>26865.360000000008</v>
      </c>
    </row>
    <row r="876" spans="1:11">
      <c r="A876" s="141">
        <v>876</v>
      </c>
      <c r="B876" s="142">
        <v>42969</v>
      </c>
      <c r="C876" s="149">
        <v>14.6</v>
      </c>
      <c r="D876" s="141">
        <v>9709.5999999999949</v>
      </c>
      <c r="E876" s="141"/>
      <c r="F876" s="141"/>
      <c r="G876" s="141"/>
      <c r="H876" s="141"/>
      <c r="J876" s="141">
        <f t="shared" si="27"/>
        <v>0.6100000000000001</v>
      </c>
      <c r="K876" s="141">
        <f t="shared" si="28"/>
        <v>26880.000000000007</v>
      </c>
    </row>
    <row r="877" spans="1:11">
      <c r="A877" s="141">
        <v>877</v>
      </c>
      <c r="B877" s="142">
        <v>42970</v>
      </c>
      <c r="C877" s="149">
        <v>14.5</v>
      </c>
      <c r="D877" s="141">
        <v>9724.0999999999949</v>
      </c>
      <c r="E877" s="141"/>
      <c r="F877" s="141"/>
      <c r="G877" s="141"/>
      <c r="H877" s="141"/>
      <c r="J877" s="141">
        <f t="shared" si="27"/>
        <v>0.625</v>
      </c>
      <c r="K877" s="141">
        <f t="shared" si="28"/>
        <v>26895.000000000007</v>
      </c>
    </row>
    <row r="878" spans="1:11">
      <c r="A878" s="141">
        <v>878</v>
      </c>
      <c r="B878" s="142">
        <v>42971</v>
      </c>
      <c r="C878" s="149">
        <v>18.899999999999999</v>
      </c>
      <c r="D878" s="141">
        <v>9742.9999999999945</v>
      </c>
      <c r="E878" s="141"/>
      <c r="F878" s="141"/>
      <c r="G878" s="141"/>
      <c r="H878" s="141"/>
      <c r="J878" s="141">
        <f t="shared" si="27"/>
        <v>0.25</v>
      </c>
      <c r="K878" s="141">
        <f t="shared" si="28"/>
        <v>26901.000000000007</v>
      </c>
    </row>
    <row r="879" spans="1:11">
      <c r="A879" s="141">
        <v>879</v>
      </c>
      <c r="B879" s="142">
        <v>42972</v>
      </c>
      <c r="C879" s="149">
        <v>20.6</v>
      </c>
      <c r="D879" s="141">
        <v>9763.5999999999949</v>
      </c>
      <c r="E879" s="141"/>
      <c r="F879" s="141"/>
      <c r="G879" s="141"/>
      <c r="H879" s="141"/>
      <c r="J879" s="141">
        <f t="shared" si="27"/>
        <v>0.25</v>
      </c>
      <c r="K879" s="141">
        <f t="shared" si="28"/>
        <v>26907.000000000007</v>
      </c>
    </row>
    <row r="880" spans="1:11">
      <c r="A880" s="141">
        <v>880</v>
      </c>
      <c r="B880" s="142">
        <v>42973</v>
      </c>
      <c r="C880" s="149">
        <v>21.4</v>
      </c>
      <c r="D880" s="141">
        <v>9784.9999999999945</v>
      </c>
      <c r="E880" s="141"/>
      <c r="F880" s="141"/>
      <c r="G880" s="141"/>
      <c r="H880" s="141"/>
      <c r="J880" s="141">
        <f t="shared" si="27"/>
        <v>0.25</v>
      </c>
      <c r="K880" s="141">
        <f t="shared" si="28"/>
        <v>26913.000000000007</v>
      </c>
    </row>
    <row r="881" spans="1:11">
      <c r="A881" s="141">
        <v>881</v>
      </c>
      <c r="B881" s="142">
        <v>42974</v>
      </c>
      <c r="C881" s="149">
        <v>21</v>
      </c>
      <c r="D881" s="141">
        <v>9805.9999999999945</v>
      </c>
      <c r="E881" s="141"/>
      <c r="F881" s="141"/>
      <c r="G881" s="141"/>
      <c r="H881" s="141"/>
      <c r="J881" s="141">
        <f t="shared" si="27"/>
        <v>0.25</v>
      </c>
      <c r="K881" s="141">
        <f t="shared" si="28"/>
        <v>26919.000000000007</v>
      </c>
    </row>
    <row r="882" spans="1:11">
      <c r="A882" s="141">
        <v>882</v>
      </c>
      <c r="B882" s="142">
        <v>42975</v>
      </c>
      <c r="C882" s="149">
        <v>18.2</v>
      </c>
      <c r="D882" s="141">
        <v>9824.1999999999953</v>
      </c>
      <c r="E882" s="141"/>
      <c r="F882" s="141"/>
      <c r="G882" s="141"/>
      <c r="H882" s="141"/>
      <c r="J882" s="141">
        <f t="shared" si="27"/>
        <v>0.25</v>
      </c>
      <c r="K882" s="141">
        <f t="shared" si="28"/>
        <v>26925.000000000007</v>
      </c>
    </row>
    <row r="883" spans="1:11">
      <c r="A883" s="141">
        <v>883</v>
      </c>
      <c r="B883" s="142">
        <v>42976</v>
      </c>
      <c r="C883" s="149">
        <v>18.399999999999999</v>
      </c>
      <c r="D883" s="141">
        <v>9842.5999999999949</v>
      </c>
      <c r="E883" s="141"/>
      <c r="F883" s="141"/>
      <c r="G883" s="141"/>
      <c r="H883" s="141"/>
      <c r="J883" s="141">
        <f t="shared" si="27"/>
        <v>0.25</v>
      </c>
      <c r="K883" s="141">
        <f t="shared" si="28"/>
        <v>26931.000000000007</v>
      </c>
    </row>
    <row r="884" spans="1:11">
      <c r="A884" s="141">
        <v>884</v>
      </c>
      <c r="B884" s="142">
        <v>42977</v>
      </c>
      <c r="C884" s="149">
        <v>20.9</v>
      </c>
      <c r="D884" s="141">
        <v>9863.4999999999945</v>
      </c>
      <c r="E884" s="141"/>
      <c r="F884" s="141"/>
      <c r="G884" s="141"/>
      <c r="H884" s="141"/>
      <c r="J884" s="141">
        <f t="shared" si="27"/>
        <v>0.25</v>
      </c>
      <c r="K884" s="141">
        <f t="shared" si="28"/>
        <v>26937.000000000007</v>
      </c>
    </row>
    <row r="885" spans="1:11">
      <c r="A885" s="141">
        <v>885</v>
      </c>
      <c r="B885" s="142">
        <v>42978</v>
      </c>
      <c r="C885" s="149">
        <v>20.100000000000001</v>
      </c>
      <c r="D885" s="141">
        <v>9883.5999999999949</v>
      </c>
      <c r="E885" s="141"/>
      <c r="F885" s="141"/>
      <c r="G885" s="141"/>
      <c r="H885" s="141"/>
      <c r="J885" s="141">
        <f t="shared" si="27"/>
        <v>0.25</v>
      </c>
      <c r="K885" s="141">
        <f t="shared" si="28"/>
        <v>26943.000000000007</v>
      </c>
    </row>
    <row r="886" spans="1:11">
      <c r="A886" s="141">
        <v>886</v>
      </c>
      <c r="B886" s="142">
        <v>42979</v>
      </c>
      <c r="C886" s="149">
        <v>13.3</v>
      </c>
      <c r="D886" s="141">
        <v>9896.8999999999942</v>
      </c>
      <c r="E886" s="141"/>
      <c r="F886" s="141"/>
      <c r="G886" s="141"/>
      <c r="H886" s="141"/>
      <c r="J886" s="141">
        <f t="shared" si="27"/>
        <v>0.80499999999999994</v>
      </c>
      <c r="K886" s="141">
        <f t="shared" si="28"/>
        <v>26962.320000000007</v>
      </c>
    </row>
    <row r="887" spans="1:11">
      <c r="A887" s="141">
        <v>887</v>
      </c>
      <c r="B887" s="142">
        <v>42980</v>
      </c>
      <c r="C887" s="149">
        <v>13.399999999999999</v>
      </c>
      <c r="D887" s="141">
        <v>9910.2999999999938</v>
      </c>
      <c r="E887" s="141"/>
      <c r="F887" s="141"/>
      <c r="G887" s="141"/>
      <c r="H887" s="141"/>
      <c r="J887" s="141">
        <f t="shared" si="27"/>
        <v>0.79000000000000026</v>
      </c>
      <c r="K887" s="141">
        <f t="shared" si="28"/>
        <v>26981.280000000006</v>
      </c>
    </row>
    <row r="888" spans="1:11">
      <c r="A888" s="141">
        <v>888</v>
      </c>
      <c r="B888" s="142">
        <v>42981</v>
      </c>
      <c r="C888" s="149">
        <v>13.2</v>
      </c>
      <c r="D888" s="141">
        <v>9923.4999999999945</v>
      </c>
      <c r="E888" s="141"/>
      <c r="F888" s="141"/>
      <c r="G888" s="141"/>
      <c r="H888" s="141"/>
      <c r="J888" s="141">
        <f t="shared" si="27"/>
        <v>0.82000000000000006</v>
      </c>
      <c r="K888" s="141">
        <f t="shared" si="28"/>
        <v>27000.960000000006</v>
      </c>
    </row>
    <row r="889" spans="1:11">
      <c r="A889" s="141">
        <v>889</v>
      </c>
      <c r="B889" s="142">
        <v>42982</v>
      </c>
      <c r="C889" s="149">
        <v>13.7</v>
      </c>
      <c r="D889" s="141">
        <v>9937.1999999999953</v>
      </c>
      <c r="E889" s="141"/>
      <c r="F889" s="141"/>
      <c r="G889" s="141"/>
      <c r="H889" s="141"/>
      <c r="J889" s="141">
        <f t="shared" si="27"/>
        <v>0.74500000000000011</v>
      </c>
      <c r="K889" s="141">
        <f t="shared" si="28"/>
        <v>27018.840000000007</v>
      </c>
    </row>
    <row r="890" spans="1:11">
      <c r="A890" s="141">
        <v>890</v>
      </c>
      <c r="B890" s="142">
        <v>42983</v>
      </c>
      <c r="C890" s="149">
        <v>15.6</v>
      </c>
      <c r="D890" s="141">
        <v>9952.7999999999956</v>
      </c>
      <c r="E890" s="141"/>
      <c r="F890" s="141"/>
      <c r="G890" s="141"/>
      <c r="H890" s="141"/>
      <c r="J890" s="141">
        <f t="shared" si="27"/>
        <v>0.46000000000000008</v>
      </c>
      <c r="K890" s="141">
        <f t="shared" si="28"/>
        <v>27029.880000000008</v>
      </c>
    </row>
    <row r="891" spans="1:11">
      <c r="A891" s="141">
        <v>891</v>
      </c>
      <c r="B891" s="142">
        <v>42984</v>
      </c>
      <c r="C891" s="149">
        <v>17.100000000000001</v>
      </c>
      <c r="D891" s="141">
        <v>9969.899999999996</v>
      </c>
      <c r="E891" s="141"/>
      <c r="F891" s="141"/>
      <c r="G891" s="141"/>
      <c r="H891" s="141"/>
      <c r="J891" s="141">
        <f t="shared" si="27"/>
        <v>0.25</v>
      </c>
      <c r="K891" s="141">
        <f t="shared" si="28"/>
        <v>27035.880000000008</v>
      </c>
    </row>
    <row r="892" spans="1:11">
      <c r="A892" s="141">
        <v>892</v>
      </c>
      <c r="B892" s="142">
        <v>42985</v>
      </c>
      <c r="C892" s="149">
        <v>14.7</v>
      </c>
      <c r="D892" s="141">
        <v>9984.5999999999967</v>
      </c>
      <c r="E892" s="141"/>
      <c r="F892" s="141"/>
      <c r="G892" s="141"/>
      <c r="H892" s="141"/>
      <c r="J892" s="141">
        <f t="shared" si="27"/>
        <v>0.59500000000000008</v>
      </c>
      <c r="K892" s="141">
        <f t="shared" si="28"/>
        <v>27050.160000000007</v>
      </c>
    </row>
    <row r="893" spans="1:11">
      <c r="A893" s="141">
        <v>893</v>
      </c>
      <c r="B893" s="142">
        <v>42986</v>
      </c>
      <c r="C893" s="149">
        <v>14.4</v>
      </c>
      <c r="D893" s="141">
        <v>9998.9999999999964</v>
      </c>
      <c r="E893" s="141"/>
      <c r="F893" s="141"/>
      <c r="G893" s="141"/>
      <c r="H893" s="141"/>
      <c r="J893" s="141">
        <f t="shared" si="27"/>
        <v>0.6399999999999999</v>
      </c>
      <c r="K893" s="141">
        <f t="shared" si="28"/>
        <v>27065.520000000008</v>
      </c>
    </row>
    <row r="894" spans="1:11">
      <c r="A894" s="141">
        <v>894</v>
      </c>
      <c r="B894" s="142">
        <v>42987</v>
      </c>
      <c r="C894" s="149">
        <v>16.2</v>
      </c>
      <c r="D894" s="141">
        <v>10015.199999999997</v>
      </c>
      <c r="E894" s="141"/>
      <c r="F894" s="141"/>
      <c r="G894" s="141"/>
      <c r="H894" s="141"/>
      <c r="J894" s="141">
        <f t="shared" si="27"/>
        <v>0.37000000000000011</v>
      </c>
      <c r="K894" s="141">
        <f t="shared" si="28"/>
        <v>27074.400000000009</v>
      </c>
    </row>
    <row r="895" spans="1:11">
      <c r="A895" s="141">
        <v>895</v>
      </c>
      <c r="B895" s="142">
        <v>42988</v>
      </c>
      <c r="C895" s="149">
        <v>14.1</v>
      </c>
      <c r="D895" s="141">
        <v>10029.299999999997</v>
      </c>
      <c r="E895" s="141"/>
      <c r="F895" s="141"/>
      <c r="G895" s="141"/>
      <c r="H895" s="141"/>
      <c r="J895" s="141">
        <f t="shared" si="27"/>
        <v>0.68500000000000005</v>
      </c>
      <c r="K895" s="141">
        <f t="shared" si="28"/>
        <v>27090.840000000007</v>
      </c>
    </row>
    <row r="896" spans="1:11">
      <c r="A896" s="141">
        <v>896</v>
      </c>
      <c r="B896" s="142">
        <v>42989</v>
      </c>
      <c r="C896" s="149">
        <v>14.7</v>
      </c>
      <c r="D896" s="141">
        <v>10043.999999999998</v>
      </c>
      <c r="E896" s="141"/>
      <c r="F896" s="141"/>
      <c r="G896" s="141"/>
      <c r="H896" s="141"/>
      <c r="J896" s="141">
        <f t="shared" si="27"/>
        <v>0.59500000000000008</v>
      </c>
      <c r="K896" s="141">
        <f t="shared" si="28"/>
        <v>27105.120000000006</v>
      </c>
    </row>
    <row r="897" spans="1:11">
      <c r="A897" s="141">
        <v>897</v>
      </c>
      <c r="B897" s="142">
        <v>42990</v>
      </c>
      <c r="C897" s="149">
        <v>13.7</v>
      </c>
      <c r="D897" s="141">
        <v>10057.699999999999</v>
      </c>
      <c r="E897" s="141"/>
      <c r="F897" s="141"/>
      <c r="G897" s="141"/>
      <c r="H897" s="141"/>
      <c r="J897" s="141">
        <f t="shared" si="27"/>
        <v>0.74500000000000011</v>
      </c>
      <c r="K897" s="141">
        <f t="shared" si="28"/>
        <v>27123.000000000007</v>
      </c>
    </row>
    <row r="898" spans="1:11">
      <c r="A898" s="141">
        <v>898</v>
      </c>
      <c r="B898" s="142">
        <v>42991</v>
      </c>
      <c r="C898" s="149">
        <v>14.1</v>
      </c>
      <c r="D898" s="141">
        <v>10071.799999999999</v>
      </c>
      <c r="E898" s="141"/>
      <c r="F898" s="141"/>
      <c r="G898" s="141"/>
      <c r="H898" s="141"/>
      <c r="J898" s="141">
        <f t="shared" si="27"/>
        <v>0.68500000000000005</v>
      </c>
      <c r="K898" s="141">
        <f t="shared" si="28"/>
        <v>27139.440000000006</v>
      </c>
    </row>
    <row r="899" spans="1:11">
      <c r="A899" s="141">
        <v>899</v>
      </c>
      <c r="B899" s="142">
        <v>42992</v>
      </c>
      <c r="C899" s="149">
        <v>12.899999999999999</v>
      </c>
      <c r="D899" s="141">
        <v>10084.699999999999</v>
      </c>
      <c r="E899" s="141"/>
      <c r="F899" s="141"/>
      <c r="G899" s="141"/>
      <c r="H899" s="141"/>
      <c r="J899" s="141">
        <f t="shared" si="27"/>
        <v>0.86500000000000021</v>
      </c>
      <c r="K899" s="141">
        <f t="shared" si="28"/>
        <v>27160.200000000004</v>
      </c>
    </row>
    <row r="900" spans="1:11">
      <c r="A900" s="141">
        <v>900</v>
      </c>
      <c r="B900" s="142">
        <v>42993</v>
      </c>
      <c r="C900" s="149">
        <v>12.7</v>
      </c>
      <c r="D900" s="141">
        <v>10097.4</v>
      </c>
      <c r="E900" s="141"/>
      <c r="F900" s="141"/>
      <c r="G900" s="141"/>
      <c r="H900" s="141"/>
      <c r="J900" s="141">
        <f t="shared" si="27"/>
        <v>0.89500000000000002</v>
      </c>
      <c r="K900" s="141">
        <f t="shared" si="28"/>
        <v>27181.680000000004</v>
      </c>
    </row>
    <row r="901" spans="1:11">
      <c r="A901" s="141">
        <v>901</v>
      </c>
      <c r="B901" s="142">
        <v>42994</v>
      </c>
      <c r="C901" s="149">
        <v>10.199999999999999</v>
      </c>
      <c r="D901" s="141">
        <v>10107.6</v>
      </c>
      <c r="E901" s="141"/>
      <c r="F901" s="141"/>
      <c r="G901" s="141"/>
      <c r="H901" s="141"/>
      <c r="J901" s="141">
        <f t="shared" si="27"/>
        <v>1.27</v>
      </c>
      <c r="K901" s="141">
        <f t="shared" si="28"/>
        <v>27212.160000000003</v>
      </c>
    </row>
    <row r="902" spans="1:11">
      <c r="A902" s="141">
        <v>902</v>
      </c>
      <c r="B902" s="142">
        <v>42995</v>
      </c>
      <c r="C902" s="149">
        <v>10.7</v>
      </c>
      <c r="D902" s="141">
        <v>10118.300000000001</v>
      </c>
      <c r="E902" s="141"/>
      <c r="F902" s="141"/>
      <c r="G902" s="141"/>
      <c r="H902" s="141"/>
      <c r="J902" s="141">
        <f t="shared" si="27"/>
        <v>1.1950000000000001</v>
      </c>
      <c r="K902" s="141">
        <f t="shared" si="28"/>
        <v>27240.840000000004</v>
      </c>
    </row>
    <row r="903" spans="1:11">
      <c r="A903" s="141">
        <v>903</v>
      </c>
      <c r="B903" s="142">
        <v>42996</v>
      </c>
      <c r="C903" s="149">
        <v>9.8999999999999986</v>
      </c>
      <c r="D903" s="141">
        <v>10128.200000000001</v>
      </c>
      <c r="E903" s="141"/>
      <c r="F903" s="141"/>
      <c r="G903" s="141"/>
      <c r="H903" s="141"/>
      <c r="J903" s="141">
        <f t="shared" ref="J903:J966" si="29">J$1+(IF(J$3-$C903&gt;0,J$3-$C903,0)*J$2/30)</f>
        <v>1.3150000000000002</v>
      </c>
      <c r="K903" s="141">
        <f t="shared" ref="K903:K966" si="30">K902+J903*24</f>
        <v>27272.400000000005</v>
      </c>
    </row>
    <row r="904" spans="1:11">
      <c r="A904" s="141">
        <v>904</v>
      </c>
      <c r="B904" s="142">
        <v>42997</v>
      </c>
      <c r="C904" s="149">
        <v>9.6999999999999993</v>
      </c>
      <c r="D904" s="141">
        <v>10137.900000000001</v>
      </c>
      <c r="E904" s="141"/>
      <c r="F904" s="141"/>
      <c r="G904" s="141"/>
      <c r="H904" s="141"/>
      <c r="J904" s="141">
        <f t="shared" si="29"/>
        <v>1.345</v>
      </c>
      <c r="K904" s="141">
        <f t="shared" si="30"/>
        <v>27304.680000000004</v>
      </c>
    </row>
    <row r="905" spans="1:11">
      <c r="A905" s="141">
        <v>905</v>
      </c>
      <c r="B905" s="142">
        <v>42998</v>
      </c>
      <c r="C905" s="149">
        <v>11.5</v>
      </c>
      <c r="D905" s="141">
        <v>10149.400000000001</v>
      </c>
      <c r="E905" s="141"/>
      <c r="F905" s="141"/>
      <c r="G905" s="141"/>
      <c r="H905" s="141"/>
      <c r="J905" s="141">
        <f t="shared" si="29"/>
        <v>1.075</v>
      </c>
      <c r="K905" s="141">
        <f t="shared" si="30"/>
        <v>27330.480000000003</v>
      </c>
    </row>
    <row r="906" spans="1:11">
      <c r="A906" s="141">
        <v>906</v>
      </c>
      <c r="B906" s="142">
        <v>42999</v>
      </c>
      <c r="C906" s="149">
        <v>11.5</v>
      </c>
      <c r="D906" s="141">
        <v>10160.900000000001</v>
      </c>
      <c r="E906" s="141"/>
      <c r="F906" s="141"/>
      <c r="G906" s="141"/>
      <c r="H906" s="141"/>
      <c r="J906" s="141">
        <f t="shared" si="29"/>
        <v>1.075</v>
      </c>
      <c r="K906" s="141">
        <f t="shared" si="30"/>
        <v>27356.280000000002</v>
      </c>
    </row>
    <row r="907" spans="1:11">
      <c r="A907" s="141">
        <v>907</v>
      </c>
      <c r="B907" s="142">
        <v>43000</v>
      </c>
      <c r="C907" s="149">
        <v>12.8</v>
      </c>
      <c r="D907" s="141">
        <v>10173.700000000001</v>
      </c>
      <c r="E907" s="141"/>
      <c r="F907" s="141"/>
      <c r="G907" s="141"/>
      <c r="H907" s="141"/>
      <c r="J907" s="141">
        <f t="shared" si="29"/>
        <v>0.88</v>
      </c>
      <c r="K907" s="141">
        <f t="shared" si="30"/>
        <v>27377.4</v>
      </c>
    </row>
    <row r="908" spans="1:11">
      <c r="A908" s="141">
        <v>908</v>
      </c>
      <c r="B908" s="142">
        <v>43001</v>
      </c>
      <c r="C908" s="149">
        <v>10.600000000000001</v>
      </c>
      <c r="D908" s="141">
        <v>10184.300000000001</v>
      </c>
      <c r="E908" s="141"/>
      <c r="F908" s="141"/>
      <c r="G908" s="141"/>
      <c r="H908" s="141"/>
      <c r="J908" s="141">
        <f t="shared" si="29"/>
        <v>1.2099999999999997</v>
      </c>
      <c r="K908" s="141">
        <f t="shared" si="30"/>
        <v>27406.440000000002</v>
      </c>
    </row>
    <row r="909" spans="1:11">
      <c r="A909" s="141">
        <v>909</v>
      </c>
      <c r="B909" s="142">
        <v>43002</v>
      </c>
      <c r="C909" s="149">
        <v>11.2</v>
      </c>
      <c r="D909" s="141">
        <v>10195.500000000002</v>
      </c>
      <c r="E909" s="141"/>
      <c r="F909" s="141"/>
      <c r="G909" s="141"/>
      <c r="H909" s="141"/>
      <c r="J909" s="141">
        <f t="shared" si="29"/>
        <v>1.1200000000000001</v>
      </c>
      <c r="K909" s="141">
        <f t="shared" si="30"/>
        <v>27433.320000000003</v>
      </c>
    </row>
    <row r="910" spans="1:11">
      <c r="A910" s="141">
        <v>910</v>
      </c>
      <c r="B910" s="142">
        <v>43003</v>
      </c>
      <c r="C910" s="149">
        <v>12.600000000000001</v>
      </c>
      <c r="D910" s="141">
        <v>10208.100000000002</v>
      </c>
      <c r="E910" s="141"/>
      <c r="F910" s="141"/>
      <c r="G910" s="141"/>
      <c r="H910" s="141"/>
      <c r="J910" s="141">
        <f t="shared" si="29"/>
        <v>0.90999999999999981</v>
      </c>
      <c r="K910" s="141">
        <f t="shared" si="30"/>
        <v>27455.160000000003</v>
      </c>
    </row>
    <row r="911" spans="1:11">
      <c r="A911" s="141">
        <v>911</v>
      </c>
      <c r="B911" s="142">
        <v>43004</v>
      </c>
      <c r="C911" s="149">
        <v>13</v>
      </c>
      <c r="D911" s="141">
        <v>10221.100000000002</v>
      </c>
      <c r="E911" s="141"/>
      <c r="F911" s="141"/>
      <c r="G911" s="141"/>
      <c r="H911" s="141"/>
      <c r="J911" s="141">
        <f t="shared" si="29"/>
        <v>0.85</v>
      </c>
      <c r="K911" s="141">
        <f t="shared" si="30"/>
        <v>27475.560000000005</v>
      </c>
    </row>
    <row r="912" spans="1:11">
      <c r="A912" s="141">
        <v>912</v>
      </c>
      <c r="B912" s="142">
        <v>43005</v>
      </c>
      <c r="C912" s="149">
        <v>14.8</v>
      </c>
      <c r="D912" s="141">
        <v>10235.900000000001</v>
      </c>
      <c r="E912" s="141"/>
      <c r="F912" s="141"/>
      <c r="G912" s="141"/>
      <c r="H912" s="141"/>
      <c r="J912" s="141">
        <f t="shared" si="29"/>
        <v>0.57999999999999985</v>
      </c>
      <c r="K912" s="141">
        <f t="shared" si="30"/>
        <v>27489.480000000003</v>
      </c>
    </row>
    <row r="913" spans="1:11">
      <c r="A913" s="141">
        <v>913</v>
      </c>
      <c r="B913" s="142">
        <v>43006</v>
      </c>
      <c r="C913" s="149">
        <v>14.9</v>
      </c>
      <c r="D913" s="141">
        <v>10250.800000000001</v>
      </c>
      <c r="E913" s="141"/>
      <c r="F913" s="141"/>
      <c r="G913" s="141"/>
      <c r="H913" s="141"/>
      <c r="J913" s="141">
        <f t="shared" si="29"/>
        <v>0.56499999999999995</v>
      </c>
      <c r="K913" s="141">
        <f t="shared" si="30"/>
        <v>27503.040000000005</v>
      </c>
    </row>
    <row r="914" spans="1:11">
      <c r="A914" s="141">
        <v>914</v>
      </c>
      <c r="B914" s="142">
        <v>43007</v>
      </c>
      <c r="C914" s="149">
        <v>13.600000000000001</v>
      </c>
      <c r="D914" s="141">
        <v>10264.400000000001</v>
      </c>
      <c r="E914" s="141"/>
      <c r="F914" s="141"/>
      <c r="G914" s="141"/>
      <c r="H914" s="141"/>
      <c r="J914" s="141">
        <f t="shared" si="29"/>
        <v>0.75999999999999979</v>
      </c>
      <c r="K914" s="141">
        <f t="shared" si="30"/>
        <v>27521.280000000006</v>
      </c>
    </row>
    <row r="915" spans="1:11">
      <c r="A915" s="141">
        <v>915</v>
      </c>
      <c r="B915" s="142">
        <v>43008</v>
      </c>
      <c r="C915" s="149">
        <v>11.8</v>
      </c>
      <c r="D915" s="141">
        <v>10276.200000000001</v>
      </c>
      <c r="E915" s="141"/>
      <c r="F915" s="141"/>
      <c r="G915" s="141"/>
      <c r="H915" s="141"/>
      <c r="J915" s="141">
        <f t="shared" si="29"/>
        <v>1.0299999999999998</v>
      </c>
      <c r="K915" s="141">
        <f t="shared" si="30"/>
        <v>27546.000000000007</v>
      </c>
    </row>
    <row r="916" spans="1:11">
      <c r="A916" s="141">
        <v>916</v>
      </c>
      <c r="B916" s="142">
        <v>43009</v>
      </c>
      <c r="C916" s="149">
        <v>10.899999999999999</v>
      </c>
      <c r="D916" s="141">
        <v>10287.1</v>
      </c>
      <c r="E916" s="141"/>
      <c r="F916" s="141"/>
      <c r="G916" s="141"/>
      <c r="H916" s="141"/>
      <c r="J916" s="141">
        <f t="shared" si="29"/>
        <v>1.1650000000000003</v>
      </c>
      <c r="K916" s="141">
        <f t="shared" si="30"/>
        <v>27573.960000000006</v>
      </c>
    </row>
    <row r="917" spans="1:11">
      <c r="A917" s="141">
        <v>917</v>
      </c>
      <c r="B917" s="142">
        <v>43010</v>
      </c>
      <c r="C917" s="149">
        <v>12.5</v>
      </c>
      <c r="D917" s="141">
        <v>10299.6</v>
      </c>
      <c r="E917" s="141"/>
      <c r="F917" s="141"/>
      <c r="G917" s="141"/>
      <c r="H917" s="141"/>
      <c r="J917" s="141">
        <f t="shared" si="29"/>
        <v>0.92500000000000004</v>
      </c>
      <c r="K917" s="141">
        <f t="shared" si="30"/>
        <v>27596.160000000007</v>
      </c>
    </row>
    <row r="918" spans="1:11">
      <c r="A918" s="141">
        <v>918</v>
      </c>
      <c r="B918" s="142">
        <v>43011</v>
      </c>
      <c r="C918" s="149">
        <v>12.100000000000001</v>
      </c>
      <c r="D918" s="141">
        <v>10311.700000000001</v>
      </c>
      <c r="E918" s="141"/>
      <c r="F918" s="141"/>
      <c r="G918" s="141"/>
      <c r="H918" s="141"/>
      <c r="J918" s="141">
        <f t="shared" si="29"/>
        <v>0.98499999999999976</v>
      </c>
      <c r="K918" s="141">
        <f t="shared" si="30"/>
        <v>27619.800000000007</v>
      </c>
    </row>
    <row r="919" spans="1:11">
      <c r="A919" s="141">
        <v>919</v>
      </c>
      <c r="B919" s="142">
        <v>43012</v>
      </c>
      <c r="C919" s="149">
        <v>11.7</v>
      </c>
      <c r="D919" s="141">
        <v>10323.400000000001</v>
      </c>
      <c r="E919" s="141"/>
      <c r="F919" s="141"/>
      <c r="G919" s="141"/>
      <c r="H919" s="141"/>
      <c r="J919" s="141">
        <f t="shared" si="29"/>
        <v>1.0449999999999999</v>
      </c>
      <c r="K919" s="141">
        <f t="shared" si="30"/>
        <v>27644.880000000008</v>
      </c>
    </row>
    <row r="920" spans="1:11">
      <c r="A920" s="141">
        <v>920</v>
      </c>
      <c r="B920" s="142">
        <v>43013</v>
      </c>
      <c r="C920" s="149">
        <v>12.2</v>
      </c>
      <c r="D920" s="141">
        <v>10335.600000000002</v>
      </c>
      <c r="E920" s="141"/>
      <c r="F920" s="141"/>
      <c r="G920" s="141"/>
      <c r="H920" s="141"/>
      <c r="J920" s="141">
        <f t="shared" si="29"/>
        <v>0.97000000000000008</v>
      </c>
      <c r="K920" s="141">
        <f t="shared" si="30"/>
        <v>27668.160000000007</v>
      </c>
    </row>
    <row r="921" spans="1:11">
      <c r="A921" s="141">
        <v>921</v>
      </c>
      <c r="B921" s="142">
        <v>43014</v>
      </c>
      <c r="C921" s="149">
        <v>10.199999999999999</v>
      </c>
      <c r="D921" s="141">
        <v>10345.800000000003</v>
      </c>
      <c r="E921" s="141"/>
      <c r="F921" s="141"/>
      <c r="G921" s="141"/>
      <c r="H921" s="141"/>
      <c r="J921" s="141">
        <f t="shared" si="29"/>
        <v>1.27</v>
      </c>
      <c r="K921" s="141">
        <f t="shared" si="30"/>
        <v>27698.640000000007</v>
      </c>
    </row>
    <row r="922" spans="1:11">
      <c r="A922" s="141">
        <v>922</v>
      </c>
      <c r="B922" s="142">
        <v>43015</v>
      </c>
      <c r="C922" s="149">
        <v>10</v>
      </c>
      <c r="D922" s="141">
        <v>10355.800000000003</v>
      </c>
      <c r="E922" s="141"/>
      <c r="F922" s="141"/>
      <c r="G922" s="141"/>
      <c r="H922" s="141"/>
      <c r="J922" s="141">
        <f t="shared" si="29"/>
        <v>1.3</v>
      </c>
      <c r="K922" s="141">
        <f t="shared" si="30"/>
        <v>27729.840000000007</v>
      </c>
    </row>
    <row r="923" spans="1:11">
      <c r="A923" s="141">
        <v>923</v>
      </c>
      <c r="B923" s="142">
        <v>43016</v>
      </c>
      <c r="C923" s="149">
        <v>10.100000000000001</v>
      </c>
      <c r="D923" s="141">
        <v>10365.900000000003</v>
      </c>
      <c r="E923" s="141"/>
      <c r="F923" s="141"/>
      <c r="G923" s="141"/>
      <c r="H923" s="141"/>
      <c r="J923" s="141">
        <f t="shared" si="29"/>
        <v>1.2849999999999997</v>
      </c>
      <c r="K923" s="141">
        <f t="shared" si="30"/>
        <v>27760.680000000008</v>
      </c>
    </row>
    <row r="924" spans="1:11">
      <c r="A924" s="141">
        <v>924</v>
      </c>
      <c r="B924" s="142">
        <v>43017</v>
      </c>
      <c r="C924" s="149">
        <v>8.1999999999999993</v>
      </c>
      <c r="D924" s="141">
        <v>10374.100000000004</v>
      </c>
      <c r="E924" s="141"/>
      <c r="F924" s="141"/>
      <c r="G924" s="141"/>
      <c r="H924" s="141"/>
      <c r="J924" s="141">
        <f t="shared" si="29"/>
        <v>1.57</v>
      </c>
      <c r="K924" s="141">
        <f t="shared" si="30"/>
        <v>27798.360000000008</v>
      </c>
    </row>
    <row r="925" spans="1:11">
      <c r="A925" s="141">
        <v>925</v>
      </c>
      <c r="B925" s="142">
        <v>43018</v>
      </c>
      <c r="C925" s="149">
        <v>10.8</v>
      </c>
      <c r="D925" s="141">
        <v>10384.900000000003</v>
      </c>
      <c r="E925" s="141"/>
      <c r="F925" s="141"/>
      <c r="G925" s="141"/>
      <c r="H925" s="141"/>
      <c r="J925" s="141">
        <f t="shared" si="29"/>
        <v>1.18</v>
      </c>
      <c r="K925" s="141">
        <f t="shared" si="30"/>
        <v>27826.680000000008</v>
      </c>
    </row>
    <row r="926" spans="1:11">
      <c r="A926" s="141">
        <v>926</v>
      </c>
      <c r="B926" s="142">
        <v>43019</v>
      </c>
      <c r="C926" s="149">
        <v>13.5</v>
      </c>
      <c r="D926" s="141">
        <v>10398.400000000003</v>
      </c>
      <c r="E926" s="141"/>
      <c r="F926" s="141"/>
      <c r="G926" s="141"/>
      <c r="H926" s="141"/>
      <c r="J926" s="141">
        <f t="shared" si="29"/>
        <v>0.77500000000000002</v>
      </c>
      <c r="K926" s="141">
        <f t="shared" si="30"/>
        <v>27845.280000000006</v>
      </c>
    </row>
    <row r="927" spans="1:11">
      <c r="A927" s="141">
        <v>927</v>
      </c>
      <c r="B927" s="142">
        <v>43020</v>
      </c>
      <c r="C927" s="149">
        <v>13.100000000000001</v>
      </c>
      <c r="D927" s="141">
        <v>10411.500000000004</v>
      </c>
      <c r="E927" s="141"/>
      <c r="F927" s="141"/>
      <c r="G927" s="141"/>
      <c r="H927" s="141"/>
      <c r="J927" s="141">
        <f t="shared" si="29"/>
        <v>0.83499999999999974</v>
      </c>
      <c r="K927" s="141">
        <f t="shared" si="30"/>
        <v>27865.320000000007</v>
      </c>
    </row>
    <row r="928" spans="1:11">
      <c r="A928" s="141">
        <v>928</v>
      </c>
      <c r="B928" s="142">
        <v>43021</v>
      </c>
      <c r="C928" s="149">
        <v>13.3</v>
      </c>
      <c r="D928" s="141">
        <v>10424.800000000003</v>
      </c>
      <c r="E928" s="141"/>
      <c r="F928" s="141"/>
      <c r="G928" s="141"/>
      <c r="H928" s="141"/>
      <c r="J928" s="141">
        <f t="shared" si="29"/>
        <v>0.80499999999999994</v>
      </c>
      <c r="K928" s="141">
        <f t="shared" si="30"/>
        <v>27884.640000000007</v>
      </c>
    </row>
    <row r="929" spans="1:11">
      <c r="A929" s="141">
        <v>929</v>
      </c>
      <c r="B929" s="142">
        <v>43022</v>
      </c>
      <c r="C929" s="149">
        <v>13.3</v>
      </c>
      <c r="D929" s="141">
        <v>10438.100000000002</v>
      </c>
      <c r="E929" s="141"/>
      <c r="F929" s="141"/>
      <c r="G929" s="141"/>
      <c r="H929" s="141"/>
      <c r="J929" s="141">
        <f t="shared" si="29"/>
        <v>0.80499999999999994</v>
      </c>
      <c r="K929" s="141">
        <f t="shared" si="30"/>
        <v>27903.960000000006</v>
      </c>
    </row>
    <row r="930" spans="1:11">
      <c r="A930" s="141">
        <v>930</v>
      </c>
      <c r="B930" s="142">
        <v>43023</v>
      </c>
      <c r="C930" s="149">
        <v>14.1</v>
      </c>
      <c r="D930" s="141">
        <v>10452.200000000003</v>
      </c>
      <c r="E930" s="141"/>
      <c r="F930" s="141"/>
      <c r="G930" s="141"/>
      <c r="H930" s="141"/>
      <c r="J930" s="141">
        <f t="shared" si="29"/>
        <v>0.68500000000000005</v>
      </c>
      <c r="K930" s="141">
        <f t="shared" si="30"/>
        <v>27920.400000000005</v>
      </c>
    </row>
    <row r="931" spans="1:11">
      <c r="A931" s="141">
        <v>931</v>
      </c>
      <c r="B931" s="142">
        <v>43024</v>
      </c>
      <c r="C931" s="149">
        <v>14.5</v>
      </c>
      <c r="D931" s="141">
        <v>10466.700000000003</v>
      </c>
      <c r="E931" s="141"/>
      <c r="F931" s="141"/>
      <c r="G931" s="141"/>
      <c r="H931" s="141"/>
      <c r="J931" s="141">
        <f t="shared" si="29"/>
        <v>0.625</v>
      </c>
      <c r="K931" s="141">
        <f t="shared" si="30"/>
        <v>27935.400000000005</v>
      </c>
    </row>
    <row r="932" spans="1:11">
      <c r="A932" s="141">
        <v>932</v>
      </c>
      <c r="B932" s="142">
        <v>43025</v>
      </c>
      <c r="C932" s="149">
        <v>14</v>
      </c>
      <c r="D932" s="141">
        <v>10480.700000000003</v>
      </c>
      <c r="E932" s="141"/>
      <c r="F932" s="141"/>
      <c r="G932" s="141"/>
      <c r="H932" s="141"/>
      <c r="J932" s="141">
        <f t="shared" si="29"/>
        <v>0.7</v>
      </c>
      <c r="K932" s="141">
        <f t="shared" si="30"/>
        <v>27952.200000000004</v>
      </c>
    </row>
    <row r="933" spans="1:11">
      <c r="A933" s="141">
        <v>933</v>
      </c>
      <c r="B933" s="142">
        <v>43026</v>
      </c>
      <c r="C933" s="149">
        <v>10.100000000000001</v>
      </c>
      <c r="D933" s="141">
        <v>10490.800000000003</v>
      </c>
      <c r="E933" s="141"/>
      <c r="F933" s="141"/>
      <c r="G933" s="141"/>
      <c r="H933" s="141"/>
      <c r="J933" s="141">
        <f t="shared" si="29"/>
        <v>1.2849999999999997</v>
      </c>
      <c r="K933" s="141">
        <f t="shared" si="30"/>
        <v>27983.040000000005</v>
      </c>
    </row>
    <row r="934" spans="1:11">
      <c r="A934" s="141">
        <v>934</v>
      </c>
      <c r="B934" s="142">
        <v>43027</v>
      </c>
      <c r="C934" s="149">
        <v>10.899999999999999</v>
      </c>
      <c r="D934" s="141">
        <v>10501.700000000003</v>
      </c>
      <c r="E934" s="141"/>
      <c r="F934" s="141"/>
      <c r="G934" s="141"/>
      <c r="H934" s="141"/>
      <c r="J934" s="141">
        <f t="shared" si="29"/>
        <v>1.1650000000000003</v>
      </c>
      <c r="K934" s="141">
        <f t="shared" si="30"/>
        <v>28011.000000000004</v>
      </c>
    </row>
    <row r="935" spans="1:11">
      <c r="A935" s="141">
        <v>935</v>
      </c>
      <c r="B935" s="142">
        <v>43028</v>
      </c>
      <c r="C935" s="149">
        <v>9.8999999999999986</v>
      </c>
      <c r="D935" s="141">
        <v>10511.600000000002</v>
      </c>
      <c r="E935" s="141"/>
      <c r="F935" s="141"/>
      <c r="G935" s="141"/>
      <c r="H935" s="141"/>
      <c r="J935" s="141">
        <f t="shared" si="29"/>
        <v>1.3150000000000002</v>
      </c>
      <c r="K935" s="141">
        <f t="shared" si="30"/>
        <v>28042.560000000005</v>
      </c>
    </row>
    <row r="936" spans="1:11">
      <c r="A936" s="141">
        <v>936</v>
      </c>
      <c r="B936" s="142">
        <v>43029</v>
      </c>
      <c r="C936" s="149">
        <v>11.100000000000001</v>
      </c>
      <c r="D936" s="141">
        <v>10522.700000000003</v>
      </c>
      <c r="E936" s="141"/>
      <c r="F936" s="141"/>
      <c r="G936" s="141"/>
      <c r="H936" s="141"/>
      <c r="J936" s="141">
        <f t="shared" si="29"/>
        <v>1.1349999999999998</v>
      </c>
      <c r="K936" s="141">
        <f t="shared" si="30"/>
        <v>28069.800000000007</v>
      </c>
    </row>
    <row r="937" spans="1:11">
      <c r="A937" s="141">
        <v>937</v>
      </c>
      <c r="B937" s="142">
        <v>43030</v>
      </c>
      <c r="C937" s="149">
        <v>10.5</v>
      </c>
      <c r="D937" s="141">
        <v>10533.200000000003</v>
      </c>
      <c r="E937" s="141"/>
      <c r="F937" s="141"/>
      <c r="G937" s="141"/>
      <c r="H937" s="141"/>
      <c r="J937" s="141">
        <f t="shared" si="29"/>
        <v>1.2250000000000001</v>
      </c>
      <c r="K937" s="141">
        <f t="shared" si="30"/>
        <v>28099.200000000008</v>
      </c>
    </row>
    <row r="938" spans="1:11">
      <c r="A938" s="141">
        <v>938</v>
      </c>
      <c r="B938" s="142">
        <v>43031</v>
      </c>
      <c r="C938" s="149">
        <v>9</v>
      </c>
      <c r="D938" s="141">
        <v>10542.200000000003</v>
      </c>
      <c r="E938" s="141"/>
      <c r="F938" s="141"/>
      <c r="G938" s="141"/>
      <c r="H938" s="141"/>
      <c r="J938" s="141">
        <f t="shared" si="29"/>
        <v>1.45</v>
      </c>
      <c r="K938" s="141">
        <f t="shared" si="30"/>
        <v>28134.000000000007</v>
      </c>
    </row>
    <row r="939" spans="1:11">
      <c r="A939" s="141">
        <v>939</v>
      </c>
      <c r="B939" s="142">
        <v>43032</v>
      </c>
      <c r="C939" s="149">
        <v>10.3</v>
      </c>
      <c r="D939" s="141">
        <v>10552.500000000002</v>
      </c>
      <c r="E939" s="141"/>
      <c r="F939" s="141"/>
      <c r="G939" s="141"/>
      <c r="H939" s="141"/>
      <c r="J939" s="141">
        <f t="shared" si="29"/>
        <v>1.2549999999999999</v>
      </c>
      <c r="K939" s="141">
        <f t="shared" si="30"/>
        <v>28164.120000000006</v>
      </c>
    </row>
    <row r="940" spans="1:11">
      <c r="A940" s="141">
        <v>940</v>
      </c>
      <c r="B940" s="142">
        <v>43033</v>
      </c>
      <c r="C940" s="149">
        <v>13.2</v>
      </c>
      <c r="D940" s="141">
        <v>10565.700000000003</v>
      </c>
      <c r="E940" s="141"/>
      <c r="F940" s="141"/>
      <c r="G940" s="141"/>
      <c r="H940" s="141"/>
      <c r="J940" s="141">
        <f t="shared" si="29"/>
        <v>0.82000000000000006</v>
      </c>
      <c r="K940" s="141">
        <f t="shared" si="30"/>
        <v>28183.800000000007</v>
      </c>
    </row>
    <row r="941" spans="1:11">
      <c r="A941" s="141">
        <v>941</v>
      </c>
      <c r="B941" s="142">
        <v>43034</v>
      </c>
      <c r="C941" s="149">
        <v>13</v>
      </c>
      <c r="D941" s="141">
        <v>10578.700000000003</v>
      </c>
      <c r="E941" s="141"/>
      <c r="F941" s="141"/>
      <c r="G941" s="141"/>
      <c r="H941" s="141"/>
      <c r="J941" s="141">
        <f t="shared" si="29"/>
        <v>0.85</v>
      </c>
      <c r="K941" s="141">
        <f t="shared" si="30"/>
        <v>28204.200000000008</v>
      </c>
    </row>
    <row r="942" spans="1:11">
      <c r="A942" s="141">
        <v>942</v>
      </c>
      <c r="B942" s="142">
        <v>43035</v>
      </c>
      <c r="C942" s="149">
        <v>10</v>
      </c>
      <c r="D942" s="141">
        <v>10588.700000000003</v>
      </c>
      <c r="E942" s="141"/>
      <c r="F942" s="141"/>
      <c r="G942" s="141"/>
      <c r="H942" s="141"/>
      <c r="J942" s="141">
        <f t="shared" si="29"/>
        <v>1.3</v>
      </c>
      <c r="K942" s="141">
        <f t="shared" si="30"/>
        <v>28235.400000000009</v>
      </c>
    </row>
    <row r="943" spans="1:11">
      <c r="A943" s="141">
        <v>943</v>
      </c>
      <c r="B943" s="142">
        <v>43036</v>
      </c>
      <c r="C943" s="149">
        <v>8.5</v>
      </c>
      <c r="D943" s="141">
        <v>10597.200000000003</v>
      </c>
      <c r="E943" s="141"/>
      <c r="F943" s="141"/>
      <c r="G943" s="141"/>
      <c r="H943" s="141"/>
      <c r="J943" s="141">
        <f t="shared" si="29"/>
        <v>1.5249999999999999</v>
      </c>
      <c r="K943" s="141">
        <f t="shared" si="30"/>
        <v>28272.000000000007</v>
      </c>
    </row>
    <row r="944" spans="1:11">
      <c r="A944" s="141">
        <v>944</v>
      </c>
      <c r="B944" s="142">
        <v>43037</v>
      </c>
      <c r="C944" s="149">
        <v>6.6999999999999993</v>
      </c>
      <c r="D944" s="141">
        <v>10603.900000000003</v>
      </c>
      <c r="E944" s="141"/>
      <c r="F944" s="141"/>
      <c r="G944" s="141"/>
      <c r="H944" s="141"/>
      <c r="J944" s="141">
        <f t="shared" si="29"/>
        <v>1.7950000000000002</v>
      </c>
      <c r="K944" s="141">
        <f t="shared" si="30"/>
        <v>28315.080000000009</v>
      </c>
    </row>
    <row r="945" spans="1:11">
      <c r="A945" s="141">
        <v>945</v>
      </c>
      <c r="B945" s="142">
        <v>43038</v>
      </c>
      <c r="C945" s="149">
        <v>5</v>
      </c>
      <c r="D945" s="141">
        <v>10608.900000000003</v>
      </c>
      <c r="E945" s="141"/>
      <c r="F945" s="141"/>
      <c r="G945" s="141"/>
      <c r="H945" s="141"/>
      <c r="J945" s="141">
        <f t="shared" si="29"/>
        <v>2.0499999999999998</v>
      </c>
      <c r="K945" s="141">
        <f t="shared" si="30"/>
        <v>28364.28000000001</v>
      </c>
    </row>
    <row r="946" spans="1:11">
      <c r="A946" s="141">
        <v>946</v>
      </c>
      <c r="B946" s="142">
        <v>43039</v>
      </c>
      <c r="C946" s="149">
        <v>6.3000000000000007</v>
      </c>
      <c r="D946" s="141">
        <v>10615.200000000003</v>
      </c>
      <c r="E946" s="141"/>
      <c r="F946" s="141"/>
      <c r="G946" s="141"/>
      <c r="H946" s="141"/>
      <c r="J946" s="141">
        <f t="shared" si="29"/>
        <v>1.855</v>
      </c>
      <c r="K946" s="141">
        <f t="shared" si="30"/>
        <v>28408.80000000001</v>
      </c>
    </row>
    <row r="947" spans="1:11">
      <c r="A947" s="141">
        <v>947</v>
      </c>
      <c r="B947" s="142">
        <v>43040</v>
      </c>
      <c r="C947" s="149">
        <v>7</v>
      </c>
      <c r="D947" s="141">
        <v>10622.200000000003</v>
      </c>
      <c r="E947" s="141"/>
      <c r="F947" s="141"/>
      <c r="G947" s="141"/>
      <c r="H947" s="141"/>
      <c r="J947" s="141">
        <f t="shared" si="29"/>
        <v>1.75</v>
      </c>
      <c r="K947" s="141">
        <f t="shared" si="30"/>
        <v>28450.80000000001</v>
      </c>
    </row>
    <row r="948" spans="1:11">
      <c r="A948" s="141">
        <v>948</v>
      </c>
      <c r="B948" s="142">
        <v>43041</v>
      </c>
      <c r="C948" s="149">
        <v>9.5</v>
      </c>
      <c r="D948" s="141">
        <v>10631.700000000003</v>
      </c>
      <c r="E948" s="141"/>
      <c r="F948" s="141"/>
      <c r="G948" s="141"/>
      <c r="H948" s="141"/>
      <c r="J948" s="141">
        <f t="shared" si="29"/>
        <v>1.375</v>
      </c>
      <c r="K948" s="141">
        <f t="shared" si="30"/>
        <v>28483.80000000001</v>
      </c>
    </row>
    <row r="949" spans="1:11">
      <c r="A949" s="141">
        <v>949</v>
      </c>
      <c r="B949" s="142">
        <v>43042</v>
      </c>
      <c r="C949" s="149">
        <v>7</v>
      </c>
      <c r="D949" s="141">
        <v>10638.700000000003</v>
      </c>
      <c r="E949" s="141"/>
      <c r="F949" s="141"/>
      <c r="G949" s="141"/>
      <c r="H949" s="141"/>
      <c r="J949" s="141">
        <f t="shared" si="29"/>
        <v>1.75</v>
      </c>
      <c r="K949" s="141">
        <f t="shared" si="30"/>
        <v>28525.80000000001</v>
      </c>
    </row>
    <row r="950" spans="1:11">
      <c r="A950" s="141">
        <v>950</v>
      </c>
      <c r="B950" s="142">
        <v>43043</v>
      </c>
      <c r="C950" s="149">
        <v>4.8000000000000007</v>
      </c>
      <c r="D950" s="141">
        <v>10643.500000000002</v>
      </c>
      <c r="E950" s="141"/>
      <c r="F950" s="141"/>
      <c r="G950" s="141"/>
      <c r="H950" s="141"/>
      <c r="J950" s="141">
        <f t="shared" si="29"/>
        <v>2.08</v>
      </c>
      <c r="K950" s="141">
        <f t="shared" si="30"/>
        <v>28575.720000000008</v>
      </c>
    </row>
    <row r="951" spans="1:11">
      <c r="A951" s="141">
        <v>951</v>
      </c>
      <c r="B951" s="142">
        <v>43044</v>
      </c>
      <c r="C951" s="149">
        <v>5.6999999999999993</v>
      </c>
      <c r="D951" s="141">
        <v>10649.200000000003</v>
      </c>
      <c r="E951" s="141"/>
      <c r="F951" s="141"/>
      <c r="G951" s="141"/>
      <c r="H951" s="141"/>
      <c r="J951" s="141">
        <f t="shared" si="29"/>
        <v>1.9450000000000001</v>
      </c>
      <c r="K951" s="141">
        <f t="shared" si="30"/>
        <v>28622.400000000009</v>
      </c>
    </row>
    <row r="952" spans="1:11">
      <c r="A952" s="141">
        <v>952</v>
      </c>
      <c r="B952" s="142">
        <v>43045</v>
      </c>
      <c r="C952" s="149">
        <v>6.1000000000000014</v>
      </c>
      <c r="D952" s="141">
        <v>10655.300000000003</v>
      </c>
      <c r="E952" s="141"/>
      <c r="F952" s="141"/>
      <c r="G952" s="141"/>
      <c r="H952" s="141"/>
      <c r="J952" s="141">
        <f t="shared" si="29"/>
        <v>1.885</v>
      </c>
      <c r="K952" s="141">
        <f t="shared" si="30"/>
        <v>28667.64000000001</v>
      </c>
    </row>
    <row r="953" spans="1:11">
      <c r="A953" s="141">
        <v>953</v>
      </c>
      <c r="B953" s="142">
        <v>43046</v>
      </c>
      <c r="C953" s="149">
        <v>6.6000000000000014</v>
      </c>
      <c r="D953" s="141">
        <v>10661.900000000003</v>
      </c>
      <c r="E953" s="141"/>
      <c r="F953" s="141"/>
      <c r="G953" s="141"/>
      <c r="H953" s="141"/>
      <c r="J953" s="141">
        <f t="shared" si="29"/>
        <v>1.8099999999999998</v>
      </c>
      <c r="K953" s="141">
        <f t="shared" si="30"/>
        <v>28711.080000000009</v>
      </c>
    </row>
    <row r="954" spans="1:11">
      <c r="A954" s="141">
        <v>954</v>
      </c>
      <c r="B954" s="142">
        <v>43047</v>
      </c>
      <c r="C954" s="149">
        <v>5.1000000000000014</v>
      </c>
      <c r="D954" s="141">
        <v>10667.000000000004</v>
      </c>
      <c r="E954" s="141"/>
      <c r="F954" s="141"/>
      <c r="G954" s="141"/>
      <c r="H954" s="141"/>
      <c r="J954" s="141">
        <f t="shared" si="29"/>
        <v>2.0350000000000001</v>
      </c>
      <c r="K954" s="141">
        <f t="shared" si="30"/>
        <v>28759.920000000009</v>
      </c>
    </row>
    <row r="955" spans="1:11">
      <c r="A955" s="141">
        <v>955</v>
      </c>
      <c r="B955" s="142">
        <v>43048</v>
      </c>
      <c r="C955" s="149">
        <v>7</v>
      </c>
      <c r="D955" s="141">
        <v>10674.000000000004</v>
      </c>
      <c r="E955" s="141"/>
      <c r="F955" s="141"/>
      <c r="G955" s="141"/>
      <c r="H955" s="141"/>
      <c r="J955" s="141">
        <f t="shared" si="29"/>
        <v>1.75</v>
      </c>
      <c r="K955" s="141">
        <f t="shared" si="30"/>
        <v>28801.920000000009</v>
      </c>
    </row>
    <row r="956" spans="1:11">
      <c r="A956" s="141">
        <v>956</v>
      </c>
      <c r="B956" s="142">
        <v>43049</v>
      </c>
      <c r="C956" s="149">
        <v>6.8999999999999986</v>
      </c>
      <c r="D956" s="141">
        <v>10680.900000000003</v>
      </c>
      <c r="E956" s="141"/>
      <c r="F956" s="141"/>
      <c r="G956" s="141"/>
      <c r="H956" s="141"/>
      <c r="J956" s="141">
        <f t="shared" si="29"/>
        <v>1.7650000000000001</v>
      </c>
      <c r="K956" s="141">
        <f t="shared" si="30"/>
        <v>28844.28000000001</v>
      </c>
    </row>
    <row r="957" spans="1:11">
      <c r="A957" s="141">
        <v>957</v>
      </c>
      <c r="B957" s="142">
        <v>43050</v>
      </c>
      <c r="C957" s="149">
        <v>5.1999999999999993</v>
      </c>
      <c r="D957" s="141">
        <v>10686.100000000004</v>
      </c>
      <c r="E957" s="141"/>
      <c r="F957" s="141"/>
      <c r="G957" s="141"/>
      <c r="H957" s="141"/>
      <c r="J957" s="141">
        <f t="shared" si="29"/>
        <v>2.02</v>
      </c>
      <c r="K957" s="141">
        <f t="shared" si="30"/>
        <v>28892.760000000009</v>
      </c>
    </row>
    <row r="958" spans="1:11">
      <c r="A958" s="141">
        <v>958</v>
      </c>
      <c r="B958" s="142">
        <v>43051</v>
      </c>
      <c r="C958" s="149">
        <v>3.5</v>
      </c>
      <c r="D958" s="141">
        <v>10689.600000000004</v>
      </c>
      <c r="E958" s="141"/>
      <c r="F958" s="141"/>
      <c r="G958" s="141"/>
      <c r="H958" s="141"/>
      <c r="J958" s="141">
        <f t="shared" si="29"/>
        <v>2.2749999999999999</v>
      </c>
      <c r="K958" s="141">
        <f t="shared" si="30"/>
        <v>28947.360000000008</v>
      </c>
    </row>
    <row r="959" spans="1:11">
      <c r="A959" s="141">
        <v>959</v>
      </c>
      <c r="B959" s="142">
        <v>43052</v>
      </c>
      <c r="C959" s="149">
        <v>2.8999999999999986</v>
      </c>
      <c r="D959" s="141">
        <v>10692.500000000004</v>
      </c>
      <c r="E959" s="141"/>
      <c r="F959" s="141"/>
      <c r="G959" s="141"/>
      <c r="H959" s="141"/>
      <c r="J959" s="141">
        <f t="shared" si="29"/>
        <v>2.3650000000000002</v>
      </c>
      <c r="K959" s="141">
        <f t="shared" si="30"/>
        <v>29004.120000000006</v>
      </c>
    </row>
    <row r="960" spans="1:11">
      <c r="A960" s="141">
        <v>960</v>
      </c>
      <c r="B960" s="142">
        <v>43053</v>
      </c>
      <c r="C960" s="149">
        <v>2.8999999999999986</v>
      </c>
      <c r="D960" s="141">
        <v>10695.400000000003</v>
      </c>
      <c r="E960" s="141"/>
      <c r="F960" s="141"/>
      <c r="G960" s="141"/>
      <c r="H960" s="141"/>
      <c r="J960" s="141">
        <f t="shared" si="29"/>
        <v>2.3650000000000002</v>
      </c>
      <c r="K960" s="141">
        <f t="shared" si="30"/>
        <v>29060.880000000005</v>
      </c>
    </row>
    <row r="961" spans="1:11">
      <c r="A961" s="141">
        <v>961</v>
      </c>
      <c r="B961" s="142">
        <v>43054</v>
      </c>
      <c r="C961" s="149">
        <v>4.3999999999999986</v>
      </c>
      <c r="D961" s="141">
        <v>10699.800000000003</v>
      </c>
      <c r="E961" s="141"/>
      <c r="F961" s="141"/>
      <c r="G961" s="141"/>
      <c r="H961" s="141"/>
      <c r="J961" s="141">
        <f t="shared" si="29"/>
        <v>2.14</v>
      </c>
      <c r="K961" s="141">
        <f t="shared" si="30"/>
        <v>29112.240000000005</v>
      </c>
    </row>
    <row r="962" spans="1:11">
      <c r="A962" s="141">
        <v>962</v>
      </c>
      <c r="B962" s="142">
        <v>43055</v>
      </c>
      <c r="C962" s="149">
        <v>3.6999999999999993</v>
      </c>
      <c r="D962" s="141">
        <v>10703.500000000004</v>
      </c>
      <c r="E962" s="141"/>
      <c r="F962" s="141"/>
      <c r="G962" s="141"/>
      <c r="H962" s="141"/>
      <c r="J962" s="141">
        <f t="shared" si="29"/>
        <v>2.2450000000000001</v>
      </c>
      <c r="K962" s="141">
        <f t="shared" si="30"/>
        <v>29166.120000000006</v>
      </c>
    </row>
    <row r="963" spans="1:11">
      <c r="A963" s="141">
        <v>963</v>
      </c>
      <c r="B963" s="142">
        <v>43056</v>
      </c>
      <c r="C963" s="149">
        <v>3.6000000000000014</v>
      </c>
      <c r="D963" s="141">
        <v>10707.100000000004</v>
      </c>
      <c r="E963" s="141"/>
      <c r="F963" s="141"/>
      <c r="G963" s="141"/>
      <c r="H963" s="141"/>
      <c r="J963" s="141">
        <f t="shared" si="29"/>
        <v>2.2599999999999998</v>
      </c>
      <c r="K963" s="141">
        <f t="shared" si="30"/>
        <v>29220.360000000008</v>
      </c>
    </row>
    <row r="964" spans="1:11">
      <c r="A964" s="141">
        <v>964</v>
      </c>
      <c r="B964" s="142">
        <v>43057</v>
      </c>
      <c r="C964" s="149">
        <v>3.3000000000000007</v>
      </c>
      <c r="D964" s="141">
        <v>10710.400000000003</v>
      </c>
      <c r="E964" s="141"/>
      <c r="F964" s="141"/>
      <c r="G964" s="141"/>
      <c r="H964" s="141"/>
      <c r="J964" s="141">
        <f t="shared" si="29"/>
        <v>2.3050000000000002</v>
      </c>
      <c r="K964" s="141">
        <f t="shared" si="30"/>
        <v>29275.680000000008</v>
      </c>
    </row>
    <row r="965" spans="1:11">
      <c r="A965" s="141">
        <v>965</v>
      </c>
      <c r="B965" s="142">
        <v>43058</v>
      </c>
      <c r="C965" s="149">
        <v>4.1000000000000014</v>
      </c>
      <c r="D965" s="141">
        <v>10714.500000000004</v>
      </c>
      <c r="E965" s="141"/>
      <c r="F965" s="141"/>
      <c r="G965" s="141"/>
      <c r="H965" s="141"/>
      <c r="J965" s="141">
        <f t="shared" si="29"/>
        <v>2.1849999999999996</v>
      </c>
      <c r="K965" s="141">
        <f t="shared" si="30"/>
        <v>29328.120000000006</v>
      </c>
    </row>
    <row r="966" spans="1:11">
      <c r="A966" s="141">
        <v>966</v>
      </c>
      <c r="B966" s="142">
        <v>43059</v>
      </c>
      <c r="C966" s="149">
        <v>3.5</v>
      </c>
      <c r="D966" s="141">
        <v>10718.000000000004</v>
      </c>
      <c r="E966" s="141"/>
      <c r="F966" s="141"/>
      <c r="G966" s="141"/>
      <c r="H966" s="141"/>
      <c r="J966" s="141">
        <f t="shared" si="29"/>
        <v>2.2749999999999999</v>
      </c>
      <c r="K966" s="141">
        <f t="shared" si="30"/>
        <v>29382.720000000005</v>
      </c>
    </row>
    <row r="967" spans="1:11">
      <c r="A967" s="141">
        <v>967</v>
      </c>
      <c r="B967" s="142">
        <v>43060</v>
      </c>
      <c r="C967" s="149">
        <v>5.3999999999999986</v>
      </c>
      <c r="D967" s="141">
        <v>10723.400000000003</v>
      </c>
      <c r="E967" s="141"/>
      <c r="F967" s="141"/>
      <c r="G967" s="141"/>
      <c r="H967" s="141"/>
      <c r="J967" s="141">
        <f t="shared" ref="J967:J1030" si="31">J$1+(IF(J$3-$C967&gt;0,J$3-$C967,0)*J$2/30)</f>
        <v>1.99</v>
      </c>
      <c r="K967" s="141">
        <f t="shared" ref="K967:K1030" si="32">K966+J967*24</f>
        <v>29430.480000000003</v>
      </c>
    </row>
    <row r="968" spans="1:11">
      <c r="A968" s="141">
        <v>968</v>
      </c>
      <c r="B968" s="142">
        <v>43061</v>
      </c>
      <c r="C968" s="149">
        <v>7.5</v>
      </c>
      <c r="D968" s="141">
        <v>10730.900000000003</v>
      </c>
      <c r="E968" s="141"/>
      <c r="F968" s="141"/>
      <c r="G968" s="141"/>
      <c r="H968" s="141"/>
      <c r="J968" s="141">
        <f t="shared" si="31"/>
        <v>1.675</v>
      </c>
      <c r="K968" s="141">
        <f t="shared" si="32"/>
        <v>29470.680000000004</v>
      </c>
    </row>
    <row r="969" spans="1:11">
      <c r="A969" s="141">
        <v>969</v>
      </c>
      <c r="B969" s="142">
        <v>43062</v>
      </c>
      <c r="C969" s="149">
        <v>4.1000000000000014</v>
      </c>
      <c r="D969" s="141">
        <v>10735.000000000004</v>
      </c>
      <c r="E969" s="141"/>
      <c r="F969" s="141"/>
      <c r="G969" s="141"/>
      <c r="H969" s="141"/>
      <c r="J969" s="141">
        <f t="shared" si="31"/>
        <v>2.1849999999999996</v>
      </c>
      <c r="K969" s="141">
        <f t="shared" si="32"/>
        <v>29523.120000000003</v>
      </c>
    </row>
    <row r="970" spans="1:11">
      <c r="A970" s="141">
        <v>970</v>
      </c>
      <c r="B970" s="142">
        <v>43063</v>
      </c>
      <c r="C970" s="149">
        <v>6.3999999999999986</v>
      </c>
      <c r="D970" s="141">
        <v>10741.400000000003</v>
      </c>
      <c r="E970" s="141"/>
      <c r="F970" s="141"/>
      <c r="G970" s="141"/>
      <c r="H970" s="141"/>
      <c r="J970" s="141">
        <f t="shared" si="31"/>
        <v>1.84</v>
      </c>
      <c r="K970" s="141">
        <f t="shared" si="32"/>
        <v>29567.280000000002</v>
      </c>
    </row>
    <row r="971" spans="1:11">
      <c r="A971" s="141">
        <v>971</v>
      </c>
      <c r="B971" s="142">
        <v>43064</v>
      </c>
      <c r="C971" s="149">
        <v>5.5</v>
      </c>
      <c r="D971" s="141">
        <v>10746.900000000003</v>
      </c>
      <c r="E971" s="141"/>
      <c r="F971" s="141"/>
      <c r="G971" s="141"/>
      <c r="H971" s="141"/>
      <c r="J971" s="141">
        <f t="shared" si="31"/>
        <v>1.9750000000000001</v>
      </c>
      <c r="K971" s="141">
        <f t="shared" si="32"/>
        <v>29614.680000000004</v>
      </c>
    </row>
    <row r="972" spans="1:11">
      <c r="A972" s="141">
        <v>972</v>
      </c>
      <c r="B972" s="142">
        <v>43065</v>
      </c>
      <c r="C972" s="149">
        <v>2.3000000000000007</v>
      </c>
      <c r="D972" s="141">
        <v>10749.200000000003</v>
      </c>
      <c r="E972" s="141"/>
      <c r="F972" s="141"/>
      <c r="G972" s="141"/>
      <c r="H972" s="141"/>
      <c r="J972" s="141">
        <f t="shared" si="31"/>
        <v>2.4549999999999996</v>
      </c>
      <c r="K972" s="141">
        <f t="shared" si="32"/>
        <v>29673.600000000002</v>
      </c>
    </row>
    <row r="973" spans="1:11">
      <c r="A973" s="141">
        <v>973</v>
      </c>
      <c r="B973" s="142">
        <v>43066</v>
      </c>
      <c r="C973" s="149">
        <v>3.1000000000000014</v>
      </c>
      <c r="D973" s="141">
        <v>10752.300000000003</v>
      </c>
      <c r="E973" s="141"/>
      <c r="F973" s="141"/>
      <c r="G973" s="141"/>
      <c r="H973" s="141"/>
      <c r="J973" s="141">
        <f t="shared" si="31"/>
        <v>2.335</v>
      </c>
      <c r="K973" s="141">
        <f t="shared" si="32"/>
        <v>29729.640000000003</v>
      </c>
    </row>
    <row r="974" spans="1:11">
      <c r="A974" s="141">
        <v>974</v>
      </c>
      <c r="B974" s="142">
        <v>43067</v>
      </c>
      <c r="C974" s="149">
        <v>4.6999999999999993</v>
      </c>
      <c r="D974" s="141">
        <v>10757.000000000004</v>
      </c>
      <c r="E974" s="141"/>
      <c r="F974" s="141"/>
      <c r="G974" s="141"/>
      <c r="H974" s="141"/>
      <c r="J974" s="141">
        <f t="shared" si="31"/>
        <v>2.0949999999999998</v>
      </c>
      <c r="K974" s="141">
        <f t="shared" si="32"/>
        <v>29779.920000000002</v>
      </c>
    </row>
    <row r="975" spans="1:11">
      <c r="A975" s="141">
        <v>975</v>
      </c>
      <c r="B975" s="142">
        <v>43068</v>
      </c>
      <c r="C975" s="149">
        <v>2.6000000000000014</v>
      </c>
      <c r="D975" s="141">
        <v>10759.600000000004</v>
      </c>
      <c r="E975" s="141"/>
      <c r="F975" s="141"/>
      <c r="G975" s="141"/>
      <c r="H975" s="141"/>
      <c r="J975" s="141">
        <f t="shared" si="31"/>
        <v>2.4099999999999997</v>
      </c>
      <c r="K975" s="141">
        <f t="shared" si="32"/>
        <v>29837.760000000002</v>
      </c>
    </row>
    <row r="976" spans="1:11">
      <c r="A976" s="141">
        <v>976</v>
      </c>
      <c r="B976" s="142">
        <v>43069</v>
      </c>
      <c r="C976" s="149">
        <v>1.1999999999999993</v>
      </c>
      <c r="D976" s="141">
        <v>10760.800000000005</v>
      </c>
      <c r="E976" s="141"/>
      <c r="F976" s="141"/>
      <c r="G976" s="141"/>
      <c r="H976" s="141"/>
      <c r="J976" s="141">
        <f t="shared" si="31"/>
        <v>2.62</v>
      </c>
      <c r="K976" s="141">
        <f t="shared" si="32"/>
        <v>29900.640000000003</v>
      </c>
    </row>
    <row r="977" spans="1:11">
      <c r="A977" s="141">
        <v>977</v>
      </c>
      <c r="B977" s="142">
        <v>43070</v>
      </c>
      <c r="C977" s="149">
        <v>-0.39999999999999858</v>
      </c>
      <c r="D977" s="141">
        <v>10760.400000000005</v>
      </c>
      <c r="E977" s="141"/>
      <c r="F977" s="141"/>
      <c r="G977" s="141"/>
      <c r="H977" s="141"/>
      <c r="J977" s="141">
        <f t="shared" si="31"/>
        <v>2.86</v>
      </c>
      <c r="K977" s="141">
        <f t="shared" si="32"/>
        <v>29969.280000000002</v>
      </c>
    </row>
    <row r="978" spans="1:11">
      <c r="A978" s="141">
        <v>978</v>
      </c>
      <c r="B978" s="142">
        <v>43071</v>
      </c>
      <c r="C978" s="149">
        <v>-0.89999999999999858</v>
      </c>
      <c r="D978" s="141">
        <v>10759.500000000005</v>
      </c>
      <c r="E978" s="141"/>
      <c r="F978" s="141"/>
      <c r="G978" s="141"/>
      <c r="H978" s="141"/>
      <c r="J978" s="141">
        <f t="shared" si="31"/>
        <v>2.9350000000000001</v>
      </c>
      <c r="K978" s="141">
        <f t="shared" si="32"/>
        <v>30039.72</v>
      </c>
    </row>
    <row r="979" spans="1:11">
      <c r="A979" s="141">
        <v>979</v>
      </c>
      <c r="B979" s="142">
        <v>43072</v>
      </c>
      <c r="C979" s="149">
        <v>-0.69999999999999929</v>
      </c>
      <c r="D979" s="141">
        <v>10758.800000000005</v>
      </c>
      <c r="E979" s="141"/>
      <c r="F979" s="141"/>
      <c r="G979" s="141"/>
      <c r="H979" s="141"/>
      <c r="J979" s="141">
        <f t="shared" si="31"/>
        <v>2.9049999999999998</v>
      </c>
      <c r="K979" s="141">
        <f t="shared" si="32"/>
        <v>30109.440000000002</v>
      </c>
    </row>
    <row r="980" spans="1:11">
      <c r="A980" s="141">
        <v>980</v>
      </c>
      <c r="B980" s="142">
        <v>43073</v>
      </c>
      <c r="C980" s="149">
        <v>0.89999999999999858</v>
      </c>
      <c r="D980" s="141">
        <v>10759.700000000004</v>
      </c>
      <c r="E980" s="141"/>
      <c r="F980" s="141"/>
      <c r="G980" s="141"/>
      <c r="H980" s="141"/>
      <c r="J980" s="141">
        <f t="shared" si="31"/>
        <v>2.665</v>
      </c>
      <c r="K980" s="141">
        <f t="shared" si="32"/>
        <v>30173.4</v>
      </c>
    </row>
    <row r="981" spans="1:11">
      <c r="A981" s="141">
        <v>981</v>
      </c>
      <c r="B981" s="142">
        <v>43074</v>
      </c>
      <c r="C981" s="149">
        <v>3.6999999999999993</v>
      </c>
      <c r="D981" s="141">
        <v>10763.400000000005</v>
      </c>
      <c r="E981" s="141"/>
      <c r="F981" s="141"/>
      <c r="G981" s="141"/>
      <c r="H981" s="141"/>
      <c r="J981" s="141">
        <f t="shared" si="31"/>
        <v>2.2450000000000001</v>
      </c>
      <c r="K981" s="141">
        <f t="shared" si="32"/>
        <v>30227.280000000002</v>
      </c>
    </row>
    <row r="982" spans="1:11">
      <c r="A982" s="141">
        <v>982</v>
      </c>
      <c r="B982" s="142">
        <v>43075</v>
      </c>
      <c r="C982" s="149">
        <v>4.1999999999999993</v>
      </c>
      <c r="D982" s="141">
        <v>10767.600000000006</v>
      </c>
      <c r="E982" s="141"/>
      <c r="F982" s="141"/>
      <c r="G982" s="141"/>
      <c r="H982" s="141"/>
      <c r="J982" s="141">
        <f t="shared" si="31"/>
        <v>2.17</v>
      </c>
      <c r="K982" s="141">
        <f t="shared" si="32"/>
        <v>30279.360000000004</v>
      </c>
    </row>
    <row r="983" spans="1:11">
      <c r="A983" s="141">
        <v>983</v>
      </c>
      <c r="B983" s="142">
        <v>43076</v>
      </c>
      <c r="C983" s="149">
        <v>3.6000000000000014</v>
      </c>
      <c r="D983" s="141">
        <v>10771.200000000006</v>
      </c>
      <c r="E983" s="141"/>
      <c r="F983" s="141"/>
      <c r="G983" s="141"/>
      <c r="H983" s="141"/>
      <c r="J983" s="141">
        <f t="shared" si="31"/>
        <v>2.2599999999999998</v>
      </c>
      <c r="K983" s="141">
        <f t="shared" si="32"/>
        <v>30333.600000000006</v>
      </c>
    </row>
    <row r="984" spans="1:11">
      <c r="A984" s="141">
        <v>984</v>
      </c>
      <c r="B984" s="142">
        <v>43077</v>
      </c>
      <c r="C984" s="149">
        <v>4.1999999999999993</v>
      </c>
      <c r="D984" s="141">
        <v>10775.400000000007</v>
      </c>
      <c r="E984" s="141"/>
      <c r="F984" s="141"/>
      <c r="G984" s="141"/>
      <c r="H984" s="141"/>
      <c r="J984" s="141">
        <f t="shared" si="31"/>
        <v>2.17</v>
      </c>
      <c r="K984" s="141">
        <f t="shared" si="32"/>
        <v>30385.680000000008</v>
      </c>
    </row>
    <row r="985" spans="1:11">
      <c r="A985" s="141">
        <v>985</v>
      </c>
      <c r="B985" s="142">
        <v>43078</v>
      </c>
      <c r="C985" s="149">
        <v>0.30000000000000071</v>
      </c>
      <c r="D985" s="141">
        <v>10775.700000000006</v>
      </c>
      <c r="E985" s="141"/>
      <c r="F985" s="141"/>
      <c r="G985" s="141"/>
      <c r="H985" s="141"/>
      <c r="J985" s="141">
        <f t="shared" si="31"/>
        <v>2.7549999999999999</v>
      </c>
      <c r="K985" s="141">
        <f t="shared" si="32"/>
        <v>30451.800000000007</v>
      </c>
    </row>
    <row r="986" spans="1:11">
      <c r="A986" s="141">
        <v>986</v>
      </c>
      <c r="B986" s="142">
        <v>43079</v>
      </c>
      <c r="C986" s="149">
        <v>-0.5</v>
      </c>
      <c r="D986" s="141">
        <v>10775.200000000006</v>
      </c>
      <c r="E986" s="141"/>
      <c r="F986" s="141"/>
      <c r="G986" s="141"/>
      <c r="H986" s="141"/>
      <c r="J986" s="141">
        <f t="shared" si="31"/>
        <v>2.875</v>
      </c>
      <c r="K986" s="141">
        <f t="shared" si="32"/>
        <v>30520.800000000007</v>
      </c>
    </row>
    <row r="987" spans="1:11">
      <c r="A987" s="141">
        <v>987</v>
      </c>
      <c r="B987" s="142">
        <v>43080</v>
      </c>
      <c r="C987" s="149">
        <v>4.5</v>
      </c>
      <c r="D987" s="141">
        <v>10779.700000000006</v>
      </c>
      <c r="E987" s="141"/>
      <c r="F987" s="141"/>
      <c r="G987" s="141"/>
      <c r="H987" s="141"/>
      <c r="J987" s="141">
        <f t="shared" si="31"/>
        <v>2.125</v>
      </c>
      <c r="K987" s="141">
        <f t="shared" si="32"/>
        <v>30571.800000000007</v>
      </c>
    </row>
    <row r="988" spans="1:11">
      <c r="A988" s="141">
        <v>988</v>
      </c>
      <c r="B988" s="142">
        <v>43081</v>
      </c>
      <c r="C988" s="149">
        <v>4.1000000000000014</v>
      </c>
      <c r="D988" s="141">
        <v>10783.800000000007</v>
      </c>
      <c r="E988" s="141"/>
      <c r="F988" s="141"/>
      <c r="G988" s="141"/>
      <c r="H988" s="141"/>
      <c r="J988" s="141">
        <f t="shared" si="31"/>
        <v>2.1849999999999996</v>
      </c>
      <c r="K988" s="141">
        <f t="shared" si="32"/>
        <v>30624.240000000005</v>
      </c>
    </row>
    <row r="989" spans="1:11">
      <c r="A989" s="141">
        <v>989</v>
      </c>
      <c r="B989" s="142">
        <v>43082</v>
      </c>
      <c r="C989" s="149">
        <v>1.3000000000000007</v>
      </c>
      <c r="D989" s="141">
        <v>10785.100000000006</v>
      </c>
      <c r="E989" s="141"/>
      <c r="F989" s="141"/>
      <c r="G989" s="141"/>
      <c r="H989" s="141"/>
      <c r="J989" s="141">
        <f t="shared" si="31"/>
        <v>2.6049999999999995</v>
      </c>
      <c r="K989" s="141">
        <f t="shared" si="32"/>
        <v>30686.760000000006</v>
      </c>
    </row>
    <row r="990" spans="1:11">
      <c r="A990" s="141">
        <v>990</v>
      </c>
      <c r="B990" s="142">
        <v>43083</v>
      </c>
      <c r="C990" s="149">
        <v>3.6999999999999993</v>
      </c>
      <c r="D990" s="141">
        <v>10788.800000000007</v>
      </c>
      <c r="E990" s="141"/>
      <c r="F990" s="141"/>
      <c r="G990" s="141"/>
      <c r="H990" s="141"/>
      <c r="J990" s="141">
        <f t="shared" si="31"/>
        <v>2.2450000000000001</v>
      </c>
      <c r="K990" s="141">
        <f t="shared" si="32"/>
        <v>30740.640000000007</v>
      </c>
    </row>
    <row r="991" spans="1:11">
      <c r="A991" s="141">
        <v>991</v>
      </c>
      <c r="B991" s="142">
        <v>43084</v>
      </c>
      <c r="C991" s="149">
        <v>3.1000000000000014</v>
      </c>
      <c r="D991" s="141">
        <v>10791.900000000007</v>
      </c>
      <c r="E991" s="141"/>
      <c r="F991" s="141"/>
      <c r="G991" s="141"/>
      <c r="H991" s="141"/>
      <c r="J991" s="141">
        <f t="shared" si="31"/>
        <v>2.335</v>
      </c>
      <c r="K991" s="141">
        <f t="shared" si="32"/>
        <v>30796.680000000008</v>
      </c>
    </row>
    <row r="992" spans="1:11">
      <c r="A992" s="141">
        <v>992</v>
      </c>
      <c r="B992" s="142">
        <v>43085</v>
      </c>
      <c r="C992" s="149">
        <v>2.1000000000000014</v>
      </c>
      <c r="D992" s="141">
        <v>10794.000000000007</v>
      </c>
      <c r="E992" s="141"/>
      <c r="F992" s="141"/>
      <c r="G992" s="141"/>
      <c r="H992" s="141"/>
      <c r="J992" s="141">
        <f t="shared" si="31"/>
        <v>2.4849999999999999</v>
      </c>
      <c r="K992" s="141">
        <f t="shared" si="32"/>
        <v>30856.320000000007</v>
      </c>
    </row>
    <row r="993" spans="1:11">
      <c r="A993" s="141">
        <v>993</v>
      </c>
      <c r="B993" s="142">
        <v>43086</v>
      </c>
      <c r="C993" s="149">
        <v>0.69999999999999929</v>
      </c>
      <c r="D993" s="141">
        <v>10794.700000000008</v>
      </c>
      <c r="E993" s="141"/>
      <c r="F993" s="141"/>
      <c r="G993" s="141"/>
      <c r="H993" s="141"/>
      <c r="J993" s="141">
        <f t="shared" si="31"/>
        <v>2.6950000000000003</v>
      </c>
      <c r="K993" s="141">
        <f t="shared" si="32"/>
        <v>30921.000000000007</v>
      </c>
    </row>
    <row r="994" spans="1:11">
      <c r="A994" s="141">
        <v>994</v>
      </c>
      <c r="B994" s="142">
        <v>43087</v>
      </c>
      <c r="C994" s="149">
        <v>-2.7000000000000028</v>
      </c>
      <c r="D994" s="141">
        <v>10792.000000000007</v>
      </c>
      <c r="E994" s="141"/>
      <c r="F994" s="141"/>
      <c r="G994" s="141"/>
      <c r="H994" s="141"/>
      <c r="J994" s="141">
        <f t="shared" si="31"/>
        <v>3.2050000000000001</v>
      </c>
      <c r="K994" s="141">
        <f t="shared" si="32"/>
        <v>30997.920000000006</v>
      </c>
    </row>
    <row r="995" spans="1:11">
      <c r="A995" s="141">
        <v>995</v>
      </c>
      <c r="B995" s="142">
        <v>43088</v>
      </c>
      <c r="C995" s="149">
        <v>-1.8999999999999986</v>
      </c>
      <c r="D995" s="141">
        <v>10790.100000000008</v>
      </c>
      <c r="E995" s="141"/>
      <c r="F995" s="141"/>
      <c r="G995" s="141"/>
      <c r="H995" s="141"/>
      <c r="J995" s="141">
        <f t="shared" si="31"/>
        <v>3.085</v>
      </c>
      <c r="K995" s="141">
        <f t="shared" si="32"/>
        <v>31071.960000000006</v>
      </c>
    </row>
    <row r="996" spans="1:11">
      <c r="A996" s="141">
        <v>996</v>
      </c>
      <c r="B996" s="142">
        <v>43089</v>
      </c>
      <c r="C996" s="149">
        <v>0.89999999999999858</v>
      </c>
      <c r="D996" s="141">
        <v>10791.000000000007</v>
      </c>
      <c r="E996" s="141"/>
      <c r="F996" s="141"/>
      <c r="G996" s="141"/>
      <c r="H996" s="141"/>
      <c r="J996" s="141">
        <f t="shared" si="31"/>
        <v>2.665</v>
      </c>
      <c r="K996" s="141">
        <f t="shared" si="32"/>
        <v>31135.920000000006</v>
      </c>
    </row>
    <row r="997" spans="1:11">
      <c r="A997" s="141">
        <v>997</v>
      </c>
      <c r="B997" s="142">
        <v>43090</v>
      </c>
      <c r="C997" s="149">
        <v>3.1999999999999993</v>
      </c>
      <c r="D997" s="141">
        <v>10794.200000000008</v>
      </c>
      <c r="E997" s="141"/>
      <c r="F997" s="141"/>
      <c r="G997" s="141"/>
      <c r="H997" s="141"/>
      <c r="J997" s="141">
        <f t="shared" si="31"/>
        <v>2.3199999999999998</v>
      </c>
      <c r="K997" s="141">
        <f t="shared" si="32"/>
        <v>31191.600000000006</v>
      </c>
    </row>
    <row r="998" spans="1:11">
      <c r="A998" s="141">
        <v>998</v>
      </c>
      <c r="B998" s="142">
        <v>43091</v>
      </c>
      <c r="C998" s="149">
        <v>4.8000000000000007</v>
      </c>
      <c r="D998" s="141">
        <v>10799.000000000007</v>
      </c>
      <c r="E998" s="141"/>
      <c r="F998" s="141"/>
      <c r="G998" s="141"/>
      <c r="H998" s="141"/>
      <c r="J998" s="141">
        <f t="shared" si="31"/>
        <v>2.08</v>
      </c>
      <c r="K998" s="141">
        <f t="shared" si="32"/>
        <v>31241.520000000004</v>
      </c>
    </row>
    <row r="999" spans="1:11">
      <c r="A999" s="141">
        <v>999</v>
      </c>
      <c r="B999" s="142">
        <v>43092</v>
      </c>
      <c r="C999" s="149">
        <v>5.5</v>
      </c>
      <c r="D999" s="141">
        <v>10804.500000000007</v>
      </c>
      <c r="E999" s="141"/>
      <c r="F999" s="141"/>
      <c r="G999" s="141"/>
      <c r="H999" s="141"/>
      <c r="J999" s="141">
        <f t="shared" si="31"/>
        <v>1.9750000000000001</v>
      </c>
      <c r="K999" s="141">
        <f t="shared" si="32"/>
        <v>31288.920000000006</v>
      </c>
    </row>
    <row r="1000" spans="1:11">
      <c r="A1000" s="141">
        <v>1000</v>
      </c>
      <c r="B1000" s="142">
        <v>43093</v>
      </c>
      <c r="C1000" s="149">
        <v>6.8999999999999986</v>
      </c>
      <c r="D1000" s="141">
        <v>10811.400000000007</v>
      </c>
      <c r="E1000" s="141"/>
      <c r="F1000" s="141"/>
      <c r="G1000" s="141"/>
      <c r="H1000" s="141"/>
      <c r="J1000" s="141">
        <f t="shared" si="31"/>
        <v>1.7650000000000001</v>
      </c>
      <c r="K1000" s="141">
        <f t="shared" si="32"/>
        <v>31331.280000000006</v>
      </c>
    </row>
    <row r="1001" spans="1:11">
      <c r="A1001" s="141">
        <v>1001</v>
      </c>
      <c r="B1001" s="142">
        <v>43094</v>
      </c>
      <c r="C1001" s="149">
        <v>3.1000000000000014</v>
      </c>
      <c r="D1001" s="141">
        <v>10814.500000000007</v>
      </c>
      <c r="E1001" s="141"/>
      <c r="F1001" s="141"/>
      <c r="G1001" s="141"/>
      <c r="H1001" s="141"/>
      <c r="J1001" s="141">
        <f t="shared" si="31"/>
        <v>2.335</v>
      </c>
      <c r="K1001" s="141">
        <f t="shared" si="32"/>
        <v>31387.320000000007</v>
      </c>
    </row>
    <row r="1002" spans="1:11">
      <c r="A1002" s="141">
        <v>1002</v>
      </c>
      <c r="B1002" s="142">
        <v>43095</v>
      </c>
      <c r="C1002" s="149">
        <v>-0.30000000000000071</v>
      </c>
      <c r="D1002" s="141">
        <v>10814.200000000008</v>
      </c>
      <c r="E1002" s="141"/>
      <c r="F1002" s="141"/>
      <c r="G1002" s="141"/>
      <c r="H1002" s="141"/>
      <c r="J1002" s="141">
        <f t="shared" si="31"/>
        <v>2.8450000000000002</v>
      </c>
      <c r="K1002" s="141">
        <f t="shared" si="32"/>
        <v>31455.600000000006</v>
      </c>
    </row>
    <row r="1003" spans="1:11">
      <c r="A1003" s="141">
        <v>1003</v>
      </c>
      <c r="B1003" s="142">
        <v>43096</v>
      </c>
      <c r="C1003" s="149">
        <v>0.10000000000000142</v>
      </c>
      <c r="D1003" s="141">
        <v>10814.300000000008</v>
      </c>
      <c r="E1003" s="141"/>
      <c r="F1003" s="141"/>
      <c r="G1003" s="141"/>
      <c r="H1003" s="141"/>
      <c r="J1003" s="141">
        <f t="shared" si="31"/>
        <v>2.7849999999999997</v>
      </c>
      <c r="K1003" s="141">
        <f t="shared" si="32"/>
        <v>31522.440000000006</v>
      </c>
    </row>
    <row r="1004" spans="1:11">
      <c r="A1004" s="141">
        <v>1004</v>
      </c>
      <c r="B1004" s="142">
        <v>43097</v>
      </c>
      <c r="C1004" s="149">
        <v>1.1999999999999993</v>
      </c>
      <c r="D1004" s="141">
        <v>10815.500000000009</v>
      </c>
      <c r="E1004" s="141"/>
      <c r="F1004" s="141"/>
      <c r="G1004" s="141"/>
      <c r="H1004" s="141"/>
      <c r="J1004" s="141">
        <f t="shared" si="31"/>
        <v>2.62</v>
      </c>
      <c r="K1004" s="141">
        <f t="shared" si="32"/>
        <v>31585.320000000007</v>
      </c>
    </row>
    <row r="1005" spans="1:11">
      <c r="A1005" s="141">
        <v>1005</v>
      </c>
      <c r="B1005" s="142">
        <v>43098</v>
      </c>
      <c r="C1005" s="149">
        <v>-0.60000000000000142</v>
      </c>
      <c r="D1005" s="141">
        <v>10814.900000000009</v>
      </c>
      <c r="E1005" s="141"/>
      <c r="F1005" s="141"/>
      <c r="G1005" s="141"/>
      <c r="H1005" s="141"/>
      <c r="J1005" s="141">
        <f t="shared" si="31"/>
        <v>2.89</v>
      </c>
      <c r="K1005" s="141">
        <f t="shared" si="32"/>
        <v>31654.680000000008</v>
      </c>
    </row>
    <row r="1006" spans="1:11">
      <c r="A1006" s="141">
        <v>1006</v>
      </c>
      <c r="B1006" s="142">
        <v>43099</v>
      </c>
      <c r="C1006" s="149">
        <v>1</v>
      </c>
      <c r="D1006" s="141">
        <v>10815.900000000009</v>
      </c>
      <c r="E1006" s="141"/>
      <c r="F1006" s="141"/>
      <c r="G1006" s="141"/>
      <c r="H1006" s="141"/>
      <c r="J1006" s="141">
        <f t="shared" si="31"/>
        <v>2.65</v>
      </c>
      <c r="K1006" s="141">
        <f t="shared" si="32"/>
        <v>31718.280000000006</v>
      </c>
    </row>
    <row r="1007" spans="1:11">
      <c r="A1007" s="141">
        <v>1007</v>
      </c>
      <c r="B1007" s="142">
        <v>43100</v>
      </c>
      <c r="C1007" s="149">
        <v>9.1000000000000014</v>
      </c>
      <c r="D1007" s="141">
        <v>10825.000000000009</v>
      </c>
      <c r="E1007" s="141"/>
      <c r="F1007" s="141"/>
      <c r="G1007" s="141"/>
      <c r="H1007" s="141"/>
      <c r="J1007" s="141">
        <f t="shared" si="31"/>
        <v>1.4349999999999998</v>
      </c>
      <c r="K1007" s="141">
        <f t="shared" si="32"/>
        <v>31752.720000000005</v>
      </c>
    </row>
    <row r="1008" spans="1:11">
      <c r="A1008" s="141">
        <v>1008</v>
      </c>
      <c r="B1008" s="142">
        <v>43101</v>
      </c>
      <c r="C1008" s="149">
        <v>6.1000000000000014</v>
      </c>
      <c r="D1008" s="141">
        <v>10831.100000000009</v>
      </c>
      <c r="E1008" s="141"/>
      <c r="F1008" s="141"/>
      <c r="G1008" s="141"/>
      <c r="H1008" s="141"/>
      <c r="J1008" s="141">
        <f t="shared" si="31"/>
        <v>1.885</v>
      </c>
      <c r="K1008" s="141">
        <f t="shared" si="32"/>
        <v>31797.960000000006</v>
      </c>
    </row>
    <row r="1009" spans="1:11">
      <c r="A1009" s="141">
        <v>1009</v>
      </c>
      <c r="B1009" s="142">
        <v>43102</v>
      </c>
      <c r="C1009" s="149">
        <v>4.1999999999999993</v>
      </c>
      <c r="D1009" s="141">
        <v>10835.30000000001</v>
      </c>
      <c r="E1009" s="141"/>
      <c r="F1009" s="141"/>
      <c r="G1009" s="141"/>
      <c r="H1009" s="141"/>
      <c r="J1009" s="141">
        <f t="shared" si="31"/>
        <v>2.17</v>
      </c>
      <c r="K1009" s="141">
        <f t="shared" si="32"/>
        <v>31850.040000000008</v>
      </c>
    </row>
    <row r="1010" spans="1:11">
      <c r="A1010" s="141">
        <v>1010</v>
      </c>
      <c r="B1010" s="142">
        <v>43103</v>
      </c>
      <c r="C1010" s="149">
        <v>3.8000000000000007</v>
      </c>
      <c r="D1010" s="141">
        <v>10839.100000000009</v>
      </c>
      <c r="E1010" s="141"/>
      <c r="F1010" s="141"/>
      <c r="G1010" s="141"/>
      <c r="H1010" s="141"/>
      <c r="J1010" s="141">
        <f t="shared" si="31"/>
        <v>2.23</v>
      </c>
      <c r="K1010" s="141">
        <f t="shared" si="32"/>
        <v>31903.560000000009</v>
      </c>
    </row>
    <row r="1011" spans="1:11">
      <c r="A1011" s="141">
        <v>1011</v>
      </c>
      <c r="B1011" s="142">
        <v>43104</v>
      </c>
      <c r="C1011" s="149">
        <v>5.6000000000000014</v>
      </c>
      <c r="D1011" s="141">
        <v>10844.70000000001</v>
      </c>
      <c r="E1011" s="141"/>
      <c r="F1011" s="141"/>
      <c r="G1011" s="141"/>
      <c r="H1011" s="141"/>
      <c r="J1011" s="141">
        <f t="shared" si="31"/>
        <v>1.96</v>
      </c>
      <c r="K1011" s="141">
        <f t="shared" si="32"/>
        <v>31950.600000000009</v>
      </c>
    </row>
    <row r="1012" spans="1:11">
      <c r="A1012" s="141">
        <v>1012</v>
      </c>
      <c r="B1012" s="142">
        <v>43105</v>
      </c>
      <c r="C1012" s="149">
        <v>7.3000000000000007</v>
      </c>
      <c r="D1012" s="141">
        <v>10852.000000000009</v>
      </c>
      <c r="E1012" s="141"/>
      <c r="F1012" s="141"/>
      <c r="G1012" s="141"/>
      <c r="H1012" s="141"/>
      <c r="J1012" s="141">
        <f t="shared" si="31"/>
        <v>1.7049999999999998</v>
      </c>
      <c r="K1012" s="141">
        <f t="shared" si="32"/>
        <v>31991.520000000008</v>
      </c>
    </row>
    <row r="1013" spans="1:11">
      <c r="A1013" s="141">
        <v>1013</v>
      </c>
      <c r="B1013" s="142">
        <v>43106</v>
      </c>
      <c r="C1013" s="149">
        <v>7.1999999999999993</v>
      </c>
      <c r="D1013" s="141">
        <v>10859.20000000001</v>
      </c>
      <c r="E1013" s="141"/>
      <c r="F1013" s="141"/>
      <c r="G1013" s="141"/>
      <c r="H1013" s="141"/>
      <c r="J1013" s="141">
        <f t="shared" si="31"/>
        <v>1.72</v>
      </c>
      <c r="K1013" s="141">
        <f t="shared" si="32"/>
        <v>32032.800000000007</v>
      </c>
    </row>
    <row r="1014" spans="1:11">
      <c r="A1014" s="141">
        <v>1014</v>
      </c>
      <c r="B1014" s="142">
        <v>43107</v>
      </c>
      <c r="C1014" s="149">
        <v>4.3999999999999986</v>
      </c>
      <c r="D1014" s="141">
        <v>10863.600000000009</v>
      </c>
      <c r="E1014" s="141"/>
      <c r="F1014" s="141"/>
      <c r="G1014" s="141"/>
      <c r="H1014" s="141"/>
      <c r="J1014" s="141">
        <f t="shared" si="31"/>
        <v>2.14</v>
      </c>
      <c r="K1014" s="141">
        <f t="shared" si="32"/>
        <v>32084.160000000007</v>
      </c>
    </row>
    <row r="1015" spans="1:11">
      <c r="A1015" s="141">
        <v>1015</v>
      </c>
      <c r="B1015" s="142">
        <v>43108</v>
      </c>
      <c r="C1015" s="149">
        <v>2.8999999999999986</v>
      </c>
      <c r="D1015" s="141">
        <v>10866.500000000009</v>
      </c>
      <c r="E1015" s="141"/>
      <c r="F1015" s="141"/>
      <c r="G1015" s="141"/>
      <c r="H1015" s="141"/>
      <c r="J1015" s="141">
        <f t="shared" si="31"/>
        <v>2.3650000000000002</v>
      </c>
      <c r="K1015" s="141">
        <f t="shared" si="32"/>
        <v>32140.920000000006</v>
      </c>
    </row>
    <row r="1016" spans="1:11">
      <c r="A1016" s="141">
        <v>1016</v>
      </c>
      <c r="B1016" s="142">
        <v>43109</v>
      </c>
      <c r="C1016" s="149">
        <v>6.5</v>
      </c>
      <c r="D1016" s="141">
        <v>10873.000000000009</v>
      </c>
      <c r="E1016" s="141"/>
      <c r="F1016" s="141"/>
      <c r="G1016" s="141"/>
      <c r="H1016" s="141"/>
      <c r="J1016" s="141">
        <f t="shared" si="31"/>
        <v>1.825</v>
      </c>
      <c r="K1016" s="141">
        <f t="shared" si="32"/>
        <v>32184.720000000005</v>
      </c>
    </row>
    <row r="1017" spans="1:11">
      <c r="A1017" s="141">
        <v>1017</v>
      </c>
      <c r="B1017" s="142">
        <v>43110</v>
      </c>
      <c r="C1017" s="149">
        <v>4.8999999999999986</v>
      </c>
      <c r="D1017" s="141">
        <v>10877.900000000009</v>
      </c>
      <c r="E1017" s="141"/>
      <c r="F1017" s="141"/>
      <c r="G1017" s="141"/>
      <c r="H1017" s="141"/>
      <c r="J1017" s="141">
        <f t="shared" si="31"/>
        <v>2.0650000000000004</v>
      </c>
      <c r="K1017" s="141">
        <f t="shared" si="32"/>
        <v>32234.280000000006</v>
      </c>
    </row>
    <row r="1018" spans="1:11">
      <c r="A1018" s="141">
        <v>1018</v>
      </c>
      <c r="B1018" s="142">
        <v>43111</v>
      </c>
      <c r="C1018" s="149">
        <v>4.1000000000000014</v>
      </c>
      <c r="D1018" s="141">
        <v>10882.000000000009</v>
      </c>
      <c r="E1018" s="141"/>
      <c r="F1018" s="141"/>
      <c r="G1018" s="141"/>
      <c r="H1018" s="141"/>
      <c r="J1018" s="141">
        <f t="shared" si="31"/>
        <v>2.1849999999999996</v>
      </c>
      <c r="K1018" s="141">
        <f t="shared" si="32"/>
        <v>32286.720000000005</v>
      </c>
    </row>
    <row r="1019" spans="1:11">
      <c r="A1019" s="141">
        <v>1019</v>
      </c>
      <c r="B1019" s="142">
        <v>43112</v>
      </c>
      <c r="C1019" s="149">
        <v>2.8999999999999986</v>
      </c>
      <c r="D1019" s="141">
        <v>10884.900000000009</v>
      </c>
      <c r="E1019" s="141"/>
      <c r="F1019" s="141"/>
      <c r="G1019" s="141"/>
      <c r="H1019" s="141"/>
      <c r="J1019" s="141">
        <f t="shared" si="31"/>
        <v>2.3650000000000002</v>
      </c>
      <c r="K1019" s="141">
        <f t="shared" si="32"/>
        <v>32343.480000000003</v>
      </c>
    </row>
    <row r="1020" spans="1:11">
      <c r="A1020" s="141">
        <v>1020</v>
      </c>
      <c r="B1020" s="142">
        <v>43113</v>
      </c>
      <c r="C1020" s="149">
        <v>-0.30000000000000071</v>
      </c>
      <c r="D1020" s="141">
        <v>10884.600000000009</v>
      </c>
      <c r="E1020" s="141"/>
      <c r="F1020" s="141"/>
      <c r="G1020" s="141"/>
      <c r="H1020" s="141"/>
      <c r="J1020" s="141">
        <f t="shared" si="31"/>
        <v>2.8450000000000002</v>
      </c>
      <c r="K1020" s="141">
        <f t="shared" si="32"/>
        <v>32411.760000000002</v>
      </c>
    </row>
    <row r="1021" spans="1:11">
      <c r="A1021" s="141">
        <v>1021</v>
      </c>
      <c r="B1021" s="142">
        <v>43114</v>
      </c>
      <c r="C1021" s="149">
        <v>-1</v>
      </c>
      <c r="D1021" s="141">
        <v>10883.600000000009</v>
      </c>
      <c r="E1021" s="141"/>
      <c r="F1021" s="141"/>
      <c r="G1021" s="141"/>
      <c r="H1021" s="141"/>
      <c r="J1021" s="141">
        <f t="shared" si="31"/>
        <v>2.95</v>
      </c>
      <c r="K1021" s="141">
        <f t="shared" si="32"/>
        <v>32482.560000000001</v>
      </c>
    </row>
    <row r="1022" spans="1:11">
      <c r="A1022" s="141">
        <v>1022</v>
      </c>
      <c r="B1022" s="142">
        <v>43115</v>
      </c>
      <c r="C1022" s="149">
        <v>-1.1000000000000014</v>
      </c>
      <c r="D1022" s="141">
        <v>10882.500000000009</v>
      </c>
      <c r="E1022" s="141"/>
      <c r="F1022" s="141"/>
      <c r="G1022" s="141"/>
      <c r="H1022" s="141"/>
      <c r="J1022" s="141">
        <f t="shared" si="31"/>
        <v>2.9650000000000003</v>
      </c>
      <c r="K1022" s="141">
        <f t="shared" si="32"/>
        <v>32553.72</v>
      </c>
    </row>
    <row r="1023" spans="1:11">
      <c r="A1023" s="141">
        <v>1023</v>
      </c>
      <c r="B1023" s="142">
        <v>43116</v>
      </c>
      <c r="C1023" s="149">
        <v>1.1999999999999993</v>
      </c>
      <c r="D1023" s="141">
        <v>10883.70000000001</v>
      </c>
      <c r="E1023" s="141"/>
      <c r="F1023" s="141"/>
      <c r="G1023" s="141"/>
      <c r="H1023" s="141"/>
      <c r="J1023" s="141">
        <f t="shared" si="31"/>
        <v>2.62</v>
      </c>
      <c r="K1023" s="141">
        <f t="shared" si="32"/>
        <v>32616.600000000002</v>
      </c>
    </row>
    <row r="1024" spans="1:11">
      <c r="A1024" s="141">
        <v>1024</v>
      </c>
      <c r="B1024" s="142">
        <v>43117</v>
      </c>
      <c r="C1024" s="149">
        <v>0.89999999999999858</v>
      </c>
      <c r="D1024" s="141">
        <v>10884.600000000009</v>
      </c>
      <c r="E1024" s="141"/>
      <c r="F1024" s="141"/>
      <c r="G1024" s="141"/>
      <c r="H1024" s="141"/>
      <c r="J1024" s="141">
        <f t="shared" si="31"/>
        <v>2.665</v>
      </c>
      <c r="K1024" s="141">
        <f t="shared" si="32"/>
        <v>32680.560000000001</v>
      </c>
    </row>
    <row r="1025" spans="1:11">
      <c r="A1025" s="141">
        <v>1025</v>
      </c>
      <c r="B1025" s="142">
        <v>43118</v>
      </c>
      <c r="C1025" s="149">
        <v>2.8999999999999986</v>
      </c>
      <c r="D1025" s="141">
        <v>10887.500000000009</v>
      </c>
      <c r="E1025" s="141"/>
      <c r="F1025" s="141"/>
      <c r="G1025" s="141"/>
      <c r="H1025" s="141"/>
      <c r="J1025" s="141">
        <f t="shared" si="31"/>
        <v>2.3650000000000002</v>
      </c>
      <c r="K1025" s="141">
        <f t="shared" si="32"/>
        <v>32737.32</v>
      </c>
    </row>
    <row r="1026" spans="1:11">
      <c r="A1026" s="141">
        <v>1026</v>
      </c>
      <c r="B1026" s="142">
        <v>43119</v>
      </c>
      <c r="C1026" s="149">
        <v>2</v>
      </c>
      <c r="D1026" s="141">
        <v>10889.500000000009</v>
      </c>
      <c r="E1026" s="141"/>
      <c r="F1026" s="141"/>
      <c r="G1026" s="141"/>
      <c r="H1026" s="141"/>
      <c r="J1026" s="141">
        <f t="shared" si="31"/>
        <v>2.5</v>
      </c>
      <c r="K1026" s="141">
        <f t="shared" si="32"/>
        <v>32797.32</v>
      </c>
    </row>
    <row r="1027" spans="1:11">
      <c r="A1027" s="141">
        <v>1027</v>
      </c>
      <c r="B1027" s="142">
        <v>43120</v>
      </c>
      <c r="C1027" s="149">
        <v>0.5</v>
      </c>
      <c r="D1027" s="141">
        <v>10890.000000000009</v>
      </c>
      <c r="E1027" s="141"/>
      <c r="F1027" s="141"/>
      <c r="G1027" s="141"/>
      <c r="H1027" s="141"/>
      <c r="J1027" s="141">
        <f t="shared" si="31"/>
        <v>2.7250000000000001</v>
      </c>
      <c r="K1027" s="141">
        <f t="shared" si="32"/>
        <v>32862.720000000001</v>
      </c>
    </row>
    <row r="1028" spans="1:11">
      <c r="A1028" s="141">
        <v>1028</v>
      </c>
      <c r="B1028" s="142">
        <v>43121</v>
      </c>
      <c r="C1028" s="149">
        <v>-0.5</v>
      </c>
      <c r="D1028" s="141">
        <v>10889.500000000009</v>
      </c>
      <c r="E1028" s="141"/>
      <c r="F1028" s="141"/>
      <c r="G1028" s="141"/>
      <c r="H1028" s="141"/>
      <c r="J1028" s="141">
        <f t="shared" si="31"/>
        <v>2.875</v>
      </c>
      <c r="K1028" s="141">
        <f t="shared" si="32"/>
        <v>32931.72</v>
      </c>
    </row>
    <row r="1029" spans="1:11">
      <c r="A1029" s="141">
        <v>1029</v>
      </c>
      <c r="B1029" s="142">
        <v>43122</v>
      </c>
      <c r="C1029" s="149">
        <v>-1.3999999999999986</v>
      </c>
      <c r="D1029" s="141">
        <v>10888.100000000009</v>
      </c>
      <c r="E1029" s="141"/>
      <c r="F1029" s="141"/>
      <c r="G1029" s="141"/>
      <c r="H1029" s="141"/>
      <c r="J1029" s="141">
        <f t="shared" si="31"/>
        <v>3.01</v>
      </c>
      <c r="K1029" s="141">
        <f t="shared" si="32"/>
        <v>33003.96</v>
      </c>
    </row>
    <row r="1030" spans="1:11">
      <c r="A1030" s="141">
        <v>1030</v>
      </c>
      <c r="B1030" s="142">
        <v>43123</v>
      </c>
      <c r="C1030" s="149">
        <v>3</v>
      </c>
      <c r="D1030" s="141">
        <v>10891.100000000009</v>
      </c>
      <c r="E1030" s="141"/>
      <c r="F1030" s="141"/>
      <c r="G1030" s="141"/>
      <c r="H1030" s="141"/>
      <c r="J1030" s="141">
        <f t="shared" si="31"/>
        <v>2.35</v>
      </c>
      <c r="K1030" s="141">
        <f t="shared" si="32"/>
        <v>33060.36</v>
      </c>
    </row>
    <row r="1031" spans="1:11">
      <c r="A1031" s="141">
        <v>1031</v>
      </c>
      <c r="B1031" s="142">
        <v>43124</v>
      </c>
      <c r="C1031" s="149">
        <v>5.8000000000000007</v>
      </c>
      <c r="D1031" s="141">
        <v>10896.900000000009</v>
      </c>
      <c r="E1031" s="141"/>
      <c r="F1031" s="141"/>
      <c r="G1031" s="141"/>
      <c r="H1031" s="141"/>
      <c r="J1031" s="141">
        <f t="shared" ref="J1031:J1094" si="33">J$1+(IF(J$3-$C1031&gt;0,J$3-$C1031,0)*J$2/30)</f>
        <v>1.93</v>
      </c>
      <c r="K1031" s="141">
        <f t="shared" ref="K1031:K1094" si="34">K1030+J1031*24</f>
        <v>33106.68</v>
      </c>
    </row>
    <row r="1032" spans="1:11">
      <c r="A1032" s="141">
        <v>1032</v>
      </c>
      <c r="B1032" s="142">
        <v>43125</v>
      </c>
      <c r="C1032" s="149">
        <v>4.3000000000000007</v>
      </c>
      <c r="D1032" s="141">
        <v>10901.200000000008</v>
      </c>
      <c r="E1032" s="141"/>
      <c r="F1032" s="141"/>
      <c r="G1032" s="141"/>
      <c r="H1032" s="141"/>
      <c r="J1032" s="141">
        <f t="shared" si="33"/>
        <v>2.1550000000000002</v>
      </c>
      <c r="K1032" s="141">
        <f t="shared" si="34"/>
        <v>33158.400000000001</v>
      </c>
    </row>
    <row r="1033" spans="1:11">
      <c r="A1033" s="141">
        <v>1033</v>
      </c>
      <c r="B1033" s="142">
        <v>43126</v>
      </c>
      <c r="C1033" s="149">
        <v>1.5</v>
      </c>
      <c r="D1033" s="141">
        <v>10902.700000000008</v>
      </c>
      <c r="E1033" s="141"/>
      <c r="F1033" s="141"/>
      <c r="G1033" s="141"/>
      <c r="H1033" s="141"/>
      <c r="J1033" s="141">
        <f t="shared" si="33"/>
        <v>2.5750000000000002</v>
      </c>
      <c r="K1033" s="141">
        <f t="shared" si="34"/>
        <v>33220.200000000004</v>
      </c>
    </row>
    <row r="1034" spans="1:11">
      <c r="A1034" s="141">
        <v>1034</v>
      </c>
      <c r="B1034" s="142">
        <v>43127</v>
      </c>
      <c r="C1034" s="149">
        <v>1.6000000000000014</v>
      </c>
      <c r="D1034" s="141">
        <v>10904.300000000008</v>
      </c>
      <c r="E1034" s="141"/>
      <c r="F1034" s="141"/>
      <c r="G1034" s="141"/>
      <c r="H1034" s="141"/>
      <c r="J1034" s="141">
        <f t="shared" si="33"/>
        <v>2.56</v>
      </c>
      <c r="K1034" s="141">
        <f t="shared" si="34"/>
        <v>33281.640000000007</v>
      </c>
    </row>
    <row r="1035" spans="1:11">
      <c r="A1035" s="141">
        <v>1035</v>
      </c>
      <c r="B1035" s="142">
        <v>43128</v>
      </c>
      <c r="C1035" s="149">
        <v>5.8999999999999986</v>
      </c>
      <c r="D1035" s="141">
        <v>10910.200000000008</v>
      </c>
      <c r="E1035" s="141"/>
      <c r="F1035" s="141"/>
      <c r="G1035" s="141"/>
      <c r="H1035" s="141"/>
      <c r="J1035" s="141">
        <f t="shared" si="33"/>
        <v>1.915</v>
      </c>
      <c r="K1035" s="141">
        <f t="shared" si="34"/>
        <v>33327.600000000006</v>
      </c>
    </row>
    <row r="1036" spans="1:11">
      <c r="A1036" s="141">
        <v>1036</v>
      </c>
      <c r="B1036" s="142">
        <v>43129</v>
      </c>
      <c r="C1036" s="149">
        <v>8.1000000000000014</v>
      </c>
      <c r="D1036" s="141">
        <v>10918.300000000008</v>
      </c>
      <c r="E1036" s="141"/>
      <c r="F1036" s="141"/>
      <c r="G1036" s="141"/>
      <c r="H1036" s="141"/>
      <c r="J1036" s="141">
        <f t="shared" si="33"/>
        <v>1.585</v>
      </c>
      <c r="K1036" s="141">
        <f t="shared" si="34"/>
        <v>33365.640000000007</v>
      </c>
    </row>
    <row r="1037" spans="1:11">
      <c r="A1037" s="141">
        <v>1037</v>
      </c>
      <c r="B1037" s="142">
        <v>43130</v>
      </c>
      <c r="C1037" s="149">
        <v>4.3999999999999986</v>
      </c>
      <c r="D1037" s="141">
        <v>10922.700000000008</v>
      </c>
      <c r="E1037" s="141"/>
      <c r="F1037" s="141"/>
      <c r="G1037" s="141"/>
      <c r="H1037" s="141"/>
      <c r="J1037" s="141">
        <f t="shared" si="33"/>
        <v>2.14</v>
      </c>
      <c r="K1037" s="141">
        <f t="shared" si="34"/>
        <v>33417.000000000007</v>
      </c>
    </row>
    <row r="1038" spans="1:11">
      <c r="A1038" s="141">
        <v>1038</v>
      </c>
      <c r="B1038" s="142">
        <v>43131</v>
      </c>
      <c r="C1038" s="149">
        <v>4.5</v>
      </c>
      <c r="D1038" s="141">
        <v>10927.200000000008</v>
      </c>
      <c r="E1038" s="141"/>
      <c r="F1038" s="141"/>
      <c r="G1038" s="141"/>
      <c r="H1038" s="141"/>
      <c r="J1038" s="141">
        <f t="shared" si="33"/>
        <v>2.125</v>
      </c>
      <c r="K1038" s="141">
        <f t="shared" si="34"/>
        <v>33468.000000000007</v>
      </c>
    </row>
    <row r="1039" spans="1:11">
      <c r="A1039" s="141">
        <v>1039</v>
      </c>
      <c r="B1039" s="142">
        <v>43132</v>
      </c>
      <c r="C1039" s="149">
        <v>4.6000000000000014</v>
      </c>
      <c r="D1039" s="141">
        <v>10931.800000000008</v>
      </c>
      <c r="E1039" s="141"/>
      <c r="F1039" s="141"/>
      <c r="G1039" s="141"/>
      <c r="H1039" s="141"/>
      <c r="J1039" s="141">
        <f t="shared" si="33"/>
        <v>2.11</v>
      </c>
      <c r="K1039" s="141">
        <f t="shared" si="34"/>
        <v>33518.640000000007</v>
      </c>
    </row>
    <row r="1040" spans="1:11">
      <c r="A1040" s="141">
        <v>1040</v>
      </c>
      <c r="B1040" s="142">
        <v>43133</v>
      </c>
      <c r="C1040" s="149">
        <v>2.1000000000000014</v>
      </c>
      <c r="D1040" s="141">
        <v>10933.900000000009</v>
      </c>
      <c r="E1040" s="141"/>
      <c r="F1040" s="141"/>
      <c r="G1040" s="141"/>
      <c r="H1040" s="141"/>
      <c r="J1040" s="141">
        <f t="shared" si="33"/>
        <v>2.4849999999999999</v>
      </c>
      <c r="K1040" s="141">
        <f t="shared" si="34"/>
        <v>33578.280000000006</v>
      </c>
    </row>
    <row r="1041" spans="1:11">
      <c r="A1041" s="141">
        <v>1041</v>
      </c>
      <c r="B1041" s="142">
        <v>43134</v>
      </c>
      <c r="C1041" s="149">
        <v>1.8999999999999986</v>
      </c>
      <c r="D1041" s="141">
        <v>10935.800000000008</v>
      </c>
      <c r="E1041" s="141"/>
      <c r="F1041" s="141"/>
      <c r="G1041" s="141"/>
      <c r="H1041" s="141"/>
      <c r="J1041" s="141">
        <f t="shared" si="33"/>
        <v>2.5150000000000001</v>
      </c>
      <c r="K1041" s="141">
        <f t="shared" si="34"/>
        <v>33638.640000000007</v>
      </c>
    </row>
    <row r="1042" spans="1:11">
      <c r="A1042" s="141">
        <v>1042</v>
      </c>
      <c r="B1042" s="142">
        <v>43135</v>
      </c>
      <c r="C1042" s="149">
        <v>0.10000000000000142</v>
      </c>
      <c r="D1042" s="141">
        <v>10935.900000000009</v>
      </c>
      <c r="E1042" s="141"/>
      <c r="F1042" s="141"/>
      <c r="G1042" s="141"/>
      <c r="H1042" s="141"/>
      <c r="J1042" s="141">
        <f t="shared" si="33"/>
        <v>2.7849999999999997</v>
      </c>
      <c r="K1042" s="141">
        <f t="shared" si="34"/>
        <v>33705.480000000003</v>
      </c>
    </row>
    <row r="1043" spans="1:11">
      <c r="A1043" s="141">
        <v>1043</v>
      </c>
      <c r="B1043" s="142">
        <v>43136</v>
      </c>
      <c r="C1043" s="149">
        <v>-2</v>
      </c>
      <c r="D1043" s="141">
        <v>10933.900000000009</v>
      </c>
      <c r="E1043" s="141"/>
      <c r="F1043" s="141"/>
      <c r="G1043" s="141"/>
      <c r="H1043" s="141"/>
      <c r="J1043" s="141">
        <f t="shared" si="33"/>
        <v>3.1</v>
      </c>
      <c r="K1043" s="141">
        <f t="shared" si="34"/>
        <v>33779.880000000005</v>
      </c>
    </row>
    <row r="1044" spans="1:11">
      <c r="A1044" s="141">
        <v>1044</v>
      </c>
      <c r="B1044" s="142">
        <v>43137</v>
      </c>
      <c r="C1044" s="149">
        <v>-3.6000000000000014</v>
      </c>
      <c r="D1044" s="141">
        <v>10930.300000000008</v>
      </c>
      <c r="E1044" s="141"/>
      <c r="F1044" s="141"/>
      <c r="G1044" s="141"/>
      <c r="H1044" s="141"/>
      <c r="J1044" s="141">
        <f t="shared" si="33"/>
        <v>3.3400000000000003</v>
      </c>
      <c r="K1044" s="141">
        <f t="shared" si="34"/>
        <v>33860.040000000008</v>
      </c>
    </row>
    <row r="1045" spans="1:11">
      <c r="A1045" s="141">
        <v>1045</v>
      </c>
      <c r="B1045" s="142">
        <v>43138</v>
      </c>
      <c r="C1045" s="149">
        <v>-0.69999999999999929</v>
      </c>
      <c r="D1045" s="141">
        <v>10929.600000000008</v>
      </c>
      <c r="E1045" s="141"/>
      <c r="F1045" s="141"/>
      <c r="G1045" s="141"/>
      <c r="H1045" s="141"/>
      <c r="J1045" s="141">
        <f t="shared" si="33"/>
        <v>2.9049999999999998</v>
      </c>
      <c r="K1045" s="141">
        <f t="shared" si="34"/>
        <v>33929.760000000009</v>
      </c>
    </row>
    <row r="1046" spans="1:11">
      <c r="A1046" s="141">
        <v>1046</v>
      </c>
      <c r="B1046" s="142">
        <v>43139</v>
      </c>
      <c r="C1046" s="149">
        <v>-0.89999999999999858</v>
      </c>
      <c r="D1046" s="141">
        <v>10928.700000000008</v>
      </c>
      <c r="E1046" s="141"/>
      <c r="F1046" s="141"/>
      <c r="G1046" s="141"/>
      <c r="H1046" s="141"/>
      <c r="J1046" s="141">
        <f t="shared" si="33"/>
        <v>2.9350000000000001</v>
      </c>
      <c r="K1046" s="141">
        <f t="shared" si="34"/>
        <v>34000.200000000012</v>
      </c>
    </row>
    <row r="1047" spans="1:11">
      <c r="A1047" s="141">
        <v>1047</v>
      </c>
      <c r="B1047" s="142">
        <v>43140</v>
      </c>
      <c r="C1047" s="149">
        <v>-1.6999999999999993</v>
      </c>
      <c r="D1047" s="141">
        <v>10927.000000000007</v>
      </c>
      <c r="E1047" s="141"/>
      <c r="F1047" s="141"/>
      <c r="G1047" s="141"/>
      <c r="H1047" s="141"/>
      <c r="J1047" s="141">
        <f t="shared" si="33"/>
        <v>3.0549999999999997</v>
      </c>
      <c r="K1047" s="141">
        <f t="shared" si="34"/>
        <v>34073.520000000011</v>
      </c>
    </row>
    <row r="1048" spans="1:11">
      <c r="A1048" s="141">
        <v>1048</v>
      </c>
      <c r="B1048" s="142">
        <v>43141</v>
      </c>
      <c r="C1048" s="149">
        <v>-0.80000000000000071</v>
      </c>
      <c r="D1048" s="141">
        <v>10926.200000000008</v>
      </c>
      <c r="E1048" s="141"/>
      <c r="F1048" s="141"/>
      <c r="G1048" s="141"/>
      <c r="H1048" s="141"/>
      <c r="J1048" s="141">
        <f t="shared" si="33"/>
        <v>2.9200000000000004</v>
      </c>
      <c r="K1048" s="141">
        <f t="shared" si="34"/>
        <v>34143.600000000013</v>
      </c>
    </row>
    <row r="1049" spans="1:11">
      <c r="A1049" s="141">
        <v>1049</v>
      </c>
      <c r="B1049" s="142">
        <v>43142</v>
      </c>
      <c r="C1049" s="149">
        <v>2.1000000000000014</v>
      </c>
      <c r="D1049" s="141">
        <v>10928.300000000008</v>
      </c>
      <c r="E1049" s="141"/>
      <c r="F1049" s="141"/>
      <c r="G1049" s="141"/>
      <c r="H1049" s="141"/>
      <c r="J1049" s="141">
        <f t="shared" si="33"/>
        <v>2.4849999999999999</v>
      </c>
      <c r="K1049" s="141">
        <f t="shared" si="34"/>
        <v>34203.240000000013</v>
      </c>
    </row>
    <row r="1050" spans="1:11">
      <c r="A1050" s="141">
        <v>1050</v>
      </c>
      <c r="B1050" s="142">
        <v>43143</v>
      </c>
      <c r="C1050" s="149">
        <v>1.8000000000000007</v>
      </c>
      <c r="D1050" s="141">
        <v>10930.100000000008</v>
      </c>
      <c r="E1050" s="141"/>
      <c r="F1050" s="141"/>
      <c r="G1050" s="141"/>
      <c r="H1050" s="141"/>
      <c r="J1050" s="141">
        <f t="shared" si="33"/>
        <v>2.5299999999999998</v>
      </c>
      <c r="K1050" s="141">
        <f t="shared" si="34"/>
        <v>34263.960000000014</v>
      </c>
    </row>
    <row r="1051" spans="1:11">
      <c r="A1051" s="141">
        <v>1051</v>
      </c>
      <c r="B1051" s="142">
        <v>43144</v>
      </c>
      <c r="C1051" s="149">
        <v>-0.80000000000000071</v>
      </c>
      <c r="D1051" s="141">
        <v>10929.300000000008</v>
      </c>
      <c r="E1051" s="141"/>
      <c r="F1051" s="141"/>
      <c r="G1051" s="141"/>
      <c r="H1051" s="141"/>
      <c r="J1051" s="141">
        <f t="shared" si="33"/>
        <v>2.9200000000000004</v>
      </c>
      <c r="K1051" s="141">
        <f t="shared" si="34"/>
        <v>34334.040000000015</v>
      </c>
    </row>
    <row r="1052" spans="1:11">
      <c r="A1052" s="141">
        <v>1052</v>
      </c>
      <c r="B1052" s="142">
        <v>43145</v>
      </c>
      <c r="C1052" s="149">
        <v>-2.2000000000000028</v>
      </c>
      <c r="D1052" s="141">
        <v>10927.100000000008</v>
      </c>
      <c r="E1052" s="141"/>
      <c r="F1052" s="141"/>
      <c r="G1052" s="141"/>
      <c r="H1052" s="141"/>
      <c r="J1052" s="141">
        <f t="shared" si="33"/>
        <v>3.1300000000000003</v>
      </c>
      <c r="K1052" s="141">
        <f t="shared" si="34"/>
        <v>34409.160000000018</v>
      </c>
    </row>
    <row r="1053" spans="1:11">
      <c r="A1053" s="141">
        <v>1053</v>
      </c>
      <c r="B1053" s="142">
        <v>43146</v>
      </c>
      <c r="C1053" s="149">
        <v>-1.1999999999999993</v>
      </c>
      <c r="D1053" s="141">
        <v>10925.900000000007</v>
      </c>
      <c r="E1053" s="141"/>
      <c r="F1053" s="141"/>
      <c r="G1053" s="141"/>
      <c r="H1053" s="141"/>
      <c r="J1053" s="141">
        <f t="shared" si="33"/>
        <v>2.9799999999999995</v>
      </c>
      <c r="K1053" s="141">
        <f t="shared" si="34"/>
        <v>34480.680000000015</v>
      </c>
    </row>
    <row r="1054" spans="1:11">
      <c r="A1054" s="141">
        <v>1054</v>
      </c>
      <c r="B1054" s="142">
        <v>43147</v>
      </c>
      <c r="C1054" s="149">
        <v>2.1999999999999993</v>
      </c>
      <c r="D1054" s="141">
        <v>10928.100000000008</v>
      </c>
      <c r="E1054" s="141"/>
      <c r="F1054" s="141"/>
      <c r="G1054" s="141"/>
      <c r="H1054" s="141"/>
      <c r="J1054" s="141">
        <f t="shared" si="33"/>
        <v>2.4700000000000002</v>
      </c>
      <c r="K1054" s="141">
        <f t="shared" si="34"/>
        <v>34539.960000000014</v>
      </c>
    </row>
    <row r="1055" spans="1:11">
      <c r="A1055" s="141">
        <v>1055</v>
      </c>
      <c r="B1055" s="142">
        <v>43148</v>
      </c>
      <c r="C1055" s="149">
        <v>-1.1000000000000014</v>
      </c>
      <c r="D1055" s="141">
        <v>10927.000000000007</v>
      </c>
      <c r="E1055" s="141"/>
      <c r="F1055" s="141"/>
      <c r="G1055" s="141"/>
      <c r="H1055" s="141"/>
      <c r="J1055" s="141">
        <f t="shared" si="33"/>
        <v>2.9650000000000003</v>
      </c>
      <c r="K1055" s="141">
        <f t="shared" si="34"/>
        <v>34611.120000000017</v>
      </c>
    </row>
    <row r="1056" spans="1:11">
      <c r="A1056" s="141">
        <v>1056</v>
      </c>
      <c r="B1056" s="142">
        <v>43149</v>
      </c>
      <c r="C1056" s="149">
        <v>0</v>
      </c>
      <c r="D1056" s="141">
        <v>10927.000000000007</v>
      </c>
      <c r="E1056" s="141"/>
      <c r="F1056" s="141"/>
      <c r="G1056" s="141"/>
      <c r="H1056" s="141"/>
      <c r="J1056" s="141">
        <f t="shared" si="33"/>
        <v>2.8</v>
      </c>
      <c r="K1056" s="141">
        <f t="shared" si="34"/>
        <v>34678.320000000014</v>
      </c>
    </row>
    <row r="1057" spans="1:11">
      <c r="A1057" s="141">
        <v>1057</v>
      </c>
      <c r="B1057" s="142">
        <v>43150</v>
      </c>
      <c r="C1057" s="149">
        <v>-1.3999999999999986</v>
      </c>
      <c r="D1057" s="141">
        <v>10925.600000000008</v>
      </c>
      <c r="E1057" s="141"/>
      <c r="F1057" s="141"/>
      <c r="G1057" s="141"/>
      <c r="H1057" s="141"/>
      <c r="J1057" s="141">
        <f t="shared" si="33"/>
        <v>3.01</v>
      </c>
      <c r="K1057" s="141">
        <f t="shared" si="34"/>
        <v>34750.560000000012</v>
      </c>
    </row>
    <row r="1058" spans="1:11">
      <c r="A1058" s="141">
        <v>1058</v>
      </c>
      <c r="B1058" s="142">
        <v>43151</v>
      </c>
      <c r="C1058" s="149">
        <v>-1.6000000000000014</v>
      </c>
      <c r="D1058" s="141">
        <v>10924.000000000007</v>
      </c>
      <c r="E1058" s="141"/>
      <c r="F1058" s="141"/>
      <c r="G1058" s="141"/>
      <c r="H1058" s="141"/>
      <c r="J1058" s="141">
        <f t="shared" si="33"/>
        <v>3.04</v>
      </c>
      <c r="K1058" s="141">
        <f t="shared" si="34"/>
        <v>34823.520000000011</v>
      </c>
    </row>
    <row r="1059" spans="1:11">
      <c r="A1059" s="141">
        <v>1059</v>
      </c>
      <c r="B1059" s="142">
        <v>43152</v>
      </c>
      <c r="C1059" s="149">
        <v>-1.5</v>
      </c>
      <c r="D1059" s="141">
        <v>10922.500000000007</v>
      </c>
      <c r="E1059" s="141"/>
      <c r="F1059" s="141"/>
      <c r="G1059" s="141"/>
      <c r="H1059" s="141"/>
      <c r="J1059" s="141">
        <f t="shared" si="33"/>
        <v>3.0249999999999999</v>
      </c>
      <c r="K1059" s="141">
        <f t="shared" si="34"/>
        <v>34896.12000000001</v>
      </c>
    </row>
    <row r="1060" spans="1:11">
      <c r="A1060" s="141">
        <v>1060</v>
      </c>
      <c r="B1060" s="142">
        <v>43153</v>
      </c>
      <c r="C1060" s="149">
        <v>-3</v>
      </c>
      <c r="D1060" s="141">
        <v>10919.500000000007</v>
      </c>
      <c r="E1060" s="141"/>
      <c r="F1060" s="141"/>
      <c r="G1060" s="141"/>
      <c r="H1060" s="141"/>
      <c r="J1060" s="141">
        <f t="shared" si="33"/>
        <v>3.25</v>
      </c>
      <c r="K1060" s="141">
        <f t="shared" si="34"/>
        <v>34974.12000000001</v>
      </c>
    </row>
    <row r="1061" spans="1:11">
      <c r="A1061" s="141">
        <v>1061</v>
      </c>
      <c r="B1061" s="142">
        <v>43154</v>
      </c>
      <c r="C1061" s="149">
        <v>-4.2000000000000028</v>
      </c>
      <c r="D1061" s="141">
        <v>10915.300000000007</v>
      </c>
      <c r="E1061" s="141"/>
      <c r="F1061" s="141"/>
      <c r="G1061" s="141"/>
      <c r="H1061" s="141"/>
      <c r="J1061" s="141">
        <f t="shared" si="33"/>
        <v>3.43</v>
      </c>
      <c r="K1061" s="141">
        <f t="shared" si="34"/>
        <v>35056.44000000001</v>
      </c>
    </row>
    <row r="1062" spans="1:11">
      <c r="A1062" s="141">
        <v>1062</v>
      </c>
      <c r="B1062" s="142">
        <v>43155</v>
      </c>
      <c r="C1062" s="149">
        <v>-5.8999999999999986</v>
      </c>
      <c r="D1062" s="141">
        <v>10909.400000000007</v>
      </c>
      <c r="E1062" s="141"/>
      <c r="F1062" s="141"/>
      <c r="G1062" s="141"/>
      <c r="H1062" s="141"/>
      <c r="J1062" s="141">
        <f t="shared" si="33"/>
        <v>3.6850000000000001</v>
      </c>
      <c r="K1062" s="141">
        <f t="shared" si="34"/>
        <v>35144.880000000012</v>
      </c>
    </row>
    <row r="1063" spans="1:11">
      <c r="A1063" s="141">
        <v>1063</v>
      </c>
      <c r="B1063" s="142">
        <v>43156</v>
      </c>
      <c r="C1063" s="149">
        <v>-8.7000000000000028</v>
      </c>
      <c r="D1063" s="141">
        <v>10900.700000000006</v>
      </c>
      <c r="E1063" s="141"/>
      <c r="F1063" s="141"/>
      <c r="G1063" s="141"/>
      <c r="H1063" s="141"/>
      <c r="J1063" s="141">
        <f t="shared" si="33"/>
        <v>4.1050000000000004</v>
      </c>
      <c r="K1063" s="141">
        <f t="shared" si="34"/>
        <v>35243.400000000009</v>
      </c>
    </row>
    <row r="1064" spans="1:11">
      <c r="A1064" s="141">
        <v>1064</v>
      </c>
      <c r="B1064" s="142">
        <v>43157</v>
      </c>
      <c r="C1064" s="149">
        <v>-9.7999999999999972</v>
      </c>
      <c r="D1064" s="141">
        <v>10890.900000000007</v>
      </c>
      <c r="E1064" s="141"/>
      <c r="F1064" s="141"/>
      <c r="G1064" s="141"/>
      <c r="H1064" s="141"/>
      <c r="J1064" s="141">
        <f t="shared" si="33"/>
        <v>4.2699999999999996</v>
      </c>
      <c r="K1064" s="141">
        <f t="shared" si="34"/>
        <v>35345.880000000012</v>
      </c>
    </row>
    <row r="1065" spans="1:11">
      <c r="A1065" s="141">
        <v>1065</v>
      </c>
      <c r="B1065" s="142">
        <v>43158</v>
      </c>
      <c r="C1065" s="149">
        <v>-11</v>
      </c>
      <c r="D1065" s="141">
        <v>10879.900000000007</v>
      </c>
      <c r="E1065" s="141"/>
      <c r="F1065" s="141"/>
      <c r="G1065" s="141"/>
      <c r="H1065" s="141"/>
      <c r="J1065" s="141">
        <f t="shared" si="33"/>
        <v>4.45</v>
      </c>
      <c r="K1065" s="141">
        <f t="shared" si="34"/>
        <v>35452.680000000015</v>
      </c>
    </row>
    <row r="1066" spans="1:11">
      <c r="A1066" s="141">
        <v>1066</v>
      </c>
      <c r="B1066" s="142">
        <v>43159</v>
      </c>
      <c r="C1066" s="149">
        <v>-10.399999999999999</v>
      </c>
      <c r="D1066" s="141">
        <v>10869.500000000007</v>
      </c>
      <c r="E1066" s="141"/>
      <c r="F1066" s="141"/>
      <c r="G1066" s="141"/>
      <c r="H1066" s="141"/>
      <c r="J1066" s="141">
        <f t="shared" si="33"/>
        <v>4.3600000000000003</v>
      </c>
      <c r="K1066" s="141">
        <f t="shared" si="34"/>
        <v>35557.320000000014</v>
      </c>
    </row>
    <row r="1067" spans="1:11">
      <c r="A1067" s="141">
        <v>1067</v>
      </c>
      <c r="B1067" s="142">
        <v>43160</v>
      </c>
      <c r="C1067" s="149">
        <v>-9.1000000000000014</v>
      </c>
      <c r="D1067" s="141">
        <v>10860.400000000007</v>
      </c>
      <c r="E1067" s="141"/>
      <c r="F1067" s="141"/>
      <c r="G1067" s="141"/>
      <c r="H1067" s="141"/>
      <c r="J1067" s="141">
        <f t="shared" si="33"/>
        <v>4.165</v>
      </c>
      <c r="K1067" s="141">
        <f t="shared" si="34"/>
        <v>35657.280000000013</v>
      </c>
    </row>
    <row r="1068" spans="1:11">
      <c r="A1068" s="141">
        <v>1068</v>
      </c>
      <c r="B1068" s="142">
        <v>43161</v>
      </c>
      <c r="C1068" s="149">
        <v>-6.2000000000000028</v>
      </c>
      <c r="D1068" s="141">
        <v>10854.200000000006</v>
      </c>
      <c r="E1068" s="141"/>
      <c r="F1068" s="141"/>
      <c r="G1068" s="141"/>
      <c r="H1068" s="141"/>
      <c r="J1068" s="141">
        <f t="shared" si="33"/>
        <v>3.73</v>
      </c>
      <c r="K1068" s="141">
        <f t="shared" si="34"/>
        <v>35746.80000000001</v>
      </c>
    </row>
    <row r="1069" spans="1:11">
      <c r="A1069" s="141">
        <v>1069</v>
      </c>
      <c r="B1069" s="142">
        <v>43162</v>
      </c>
      <c r="C1069" s="149">
        <v>-5.1000000000000014</v>
      </c>
      <c r="D1069" s="141">
        <v>10849.100000000006</v>
      </c>
      <c r="E1069" s="141"/>
      <c r="F1069" s="141"/>
      <c r="G1069" s="141"/>
      <c r="H1069" s="141"/>
      <c r="J1069" s="141">
        <f t="shared" si="33"/>
        <v>3.5649999999999999</v>
      </c>
      <c r="K1069" s="141">
        <f t="shared" si="34"/>
        <v>35832.360000000008</v>
      </c>
    </row>
    <row r="1070" spans="1:11">
      <c r="A1070" s="141">
        <v>1070</v>
      </c>
      <c r="B1070" s="142">
        <v>43163</v>
      </c>
      <c r="C1070" s="149">
        <v>-4.3999999999999986</v>
      </c>
      <c r="D1070" s="141">
        <v>10844.700000000006</v>
      </c>
      <c r="E1070" s="141"/>
      <c r="F1070" s="141"/>
      <c r="G1070" s="141"/>
      <c r="H1070" s="141"/>
      <c r="J1070" s="141">
        <f t="shared" si="33"/>
        <v>3.46</v>
      </c>
      <c r="K1070" s="141">
        <f t="shared" si="34"/>
        <v>35915.400000000009</v>
      </c>
    </row>
    <row r="1071" spans="1:11">
      <c r="A1071" s="141">
        <v>1071</v>
      </c>
      <c r="B1071" s="142">
        <v>43164</v>
      </c>
      <c r="C1071" s="149">
        <v>-1.1999999999999993</v>
      </c>
      <c r="D1071" s="141">
        <v>10843.500000000005</v>
      </c>
      <c r="E1071" s="141"/>
      <c r="F1071" s="141"/>
      <c r="G1071" s="141"/>
      <c r="H1071" s="141"/>
      <c r="J1071" s="141">
        <f t="shared" si="33"/>
        <v>2.9799999999999995</v>
      </c>
      <c r="K1071" s="141">
        <f t="shared" si="34"/>
        <v>35986.920000000006</v>
      </c>
    </row>
    <row r="1072" spans="1:11">
      <c r="A1072" s="141">
        <v>1072</v>
      </c>
      <c r="B1072" s="142">
        <v>43165</v>
      </c>
      <c r="C1072" s="149">
        <v>-0.39999999999999858</v>
      </c>
      <c r="D1072" s="141">
        <v>10843.100000000006</v>
      </c>
      <c r="E1072" s="141"/>
      <c r="F1072" s="141"/>
      <c r="G1072" s="141"/>
      <c r="H1072" s="141"/>
      <c r="J1072" s="141">
        <f t="shared" si="33"/>
        <v>2.86</v>
      </c>
      <c r="K1072" s="141">
        <f t="shared" si="34"/>
        <v>36055.560000000005</v>
      </c>
    </row>
    <row r="1073" spans="1:11">
      <c r="A1073" s="141">
        <v>1073</v>
      </c>
      <c r="B1073" s="142">
        <v>43166</v>
      </c>
      <c r="C1073" s="149">
        <v>3.1999999999999993</v>
      </c>
      <c r="D1073" s="141">
        <v>10846.300000000007</v>
      </c>
      <c r="E1073" s="141"/>
      <c r="F1073" s="141"/>
      <c r="G1073" s="141"/>
      <c r="H1073" s="141"/>
      <c r="J1073" s="141">
        <f t="shared" si="33"/>
        <v>2.3199999999999998</v>
      </c>
      <c r="K1073" s="141">
        <f t="shared" si="34"/>
        <v>36111.240000000005</v>
      </c>
    </row>
    <row r="1074" spans="1:11">
      <c r="A1074" s="141">
        <v>1074</v>
      </c>
      <c r="B1074" s="142">
        <v>43167</v>
      </c>
      <c r="C1074" s="149">
        <v>5.1999999999999993</v>
      </c>
      <c r="D1074" s="141">
        <v>10851.500000000007</v>
      </c>
      <c r="E1074" s="141"/>
      <c r="F1074" s="141"/>
      <c r="G1074" s="141"/>
      <c r="H1074" s="141"/>
      <c r="J1074" s="141">
        <f t="shared" si="33"/>
        <v>2.02</v>
      </c>
      <c r="K1074" s="141">
        <f t="shared" si="34"/>
        <v>36159.720000000008</v>
      </c>
    </row>
    <row r="1075" spans="1:11">
      <c r="A1075" s="141">
        <v>1075</v>
      </c>
      <c r="B1075" s="142">
        <v>43168</v>
      </c>
      <c r="C1075" s="149">
        <v>5.1999999999999993</v>
      </c>
      <c r="D1075" s="141">
        <v>10856.700000000008</v>
      </c>
      <c r="E1075" s="141"/>
      <c r="F1075" s="141"/>
      <c r="G1075" s="141"/>
      <c r="H1075" s="141"/>
      <c r="J1075" s="141">
        <f t="shared" si="33"/>
        <v>2.02</v>
      </c>
      <c r="K1075" s="141">
        <f t="shared" si="34"/>
        <v>36208.200000000012</v>
      </c>
    </row>
    <row r="1076" spans="1:11">
      <c r="A1076" s="141">
        <v>1076</v>
      </c>
      <c r="B1076" s="142">
        <v>43169</v>
      </c>
      <c r="C1076" s="149">
        <v>7.5</v>
      </c>
      <c r="D1076" s="141">
        <v>10864.200000000008</v>
      </c>
      <c r="E1076" s="141"/>
      <c r="F1076" s="141"/>
      <c r="G1076" s="141"/>
      <c r="H1076" s="141"/>
      <c r="J1076" s="141">
        <f t="shared" si="33"/>
        <v>1.675</v>
      </c>
      <c r="K1076" s="141">
        <f t="shared" si="34"/>
        <v>36248.400000000009</v>
      </c>
    </row>
    <row r="1077" spans="1:11">
      <c r="A1077" s="141">
        <v>1077</v>
      </c>
      <c r="B1077" s="142">
        <v>43170</v>
      </c>
      <c r="C1077" s="149">
        <v>10.199999999999999</v>
      </c>
      <c r="D1077" s="141">
        <v>10874.400000000009</v>
      </c>
      <c r="E1077" s="141"/>
      <c r="F1077" s="141"/>
      <c r="G1077" s="141"/>
      <c r="H1077" s="141"/>
      <c r="J1077" s="141">
        <f t="shared" si="33"/>
        <v>1.27</v>
      </c>
      <c r="K1077" s="141">
        <f t="shared" si="34"/>
        <v>36278.880000000012</v>
      </c>
    </row>
    <row r="1078" spans="1:11">
      <c r="A1078" s="141">
        <v>1078</v>
      </c>
      <c r="B1078" s="142">
        <v>43171</v>
      </c>
      <c r="C1078" s="149">
        <v>7.3999999999999986</v>
      </c>
      <c r="D1078" s="141">
        <v>10881.800000000008</v>
      </c>
      <c r="E1078" s="141"/>
      <c r="F1078" s="141"/>
      <c r="G1078" s="141"/>
      <c r="H1078" s="141"/>
      <c r="J1078" s="141">
        <f t="shared" si="33"/>
        <v>1.6900000000000002</v>
      </c>
      <c r="K1078" s="141">
        <f t="shared" si="34"/>
        <v>36319.44000000001</v>
      </c>
    </row>
    <row r="1079" spans="1:11">
      <c r="A1079" s="141">
        <v>1079</v>
      </c>
      <c r="B1079" s="142">
        <v>43172</v>
      </c>
      <c r="C1079" s="149">
        <v>8.6999999999999993</v>
      </c>
      <c r="D1079" s="141">
        <v>10890.500000000009</v>
      </c>
      <c r="E1079" s="141"/>
      <c r="F1079" s="141"/>
      <c r="G1079" s="141"/>
      <c r="H1079" s="141"/>
      <c r="J1079" s="141">
        <f t="shared" si="33"/>
        <v>1.4950000000000001</v>
      </c>
      <c r="K1079" s="141">
        <f t="shared" si="34"/>
        <v>36355.320000000007</v>
      </c>
    </row>
    <row r="1080" spans="1:11">
      <c r="A1080" s="141">
        <v>1080</v>
      </c>
      <c r="B1080" s="142">
        <v>43173</v>
      </c>
      <c r="C1080" s="149">
        <v>4.6000000000000014</v>
      </c>
      <c r="D1080" s="141">
        <v>10895.100000000009</v>
      </c>
      <c r="E1080" s="141"/>
      <c r="F1080" s="141"/>
      <c r="G1080" s="141"/>
      <c r="H1080" s="141"/>
      <c r="J1080" s="141">
        <f t="shared" si="33"/>
        <v>2.11</v>
      </c>
      <c r="K1080" s="141">
        <f t="shared" si="34"/>
        <v>36405.960000000006</v>
      </c>
    </row>
    <row r="1081" spans="1:11">
      <c r="A1081" s="141">
        <v>1081</v>
      </c>
      <c r="B1081" s="142">
        <v>43174</v>
      </c>
      <c r="C1081" s="149">
        <v>5.3000000000000007</v>
      </c>
      <c r="D1081" s="141">
        <v>10900.400000000009</v>
      </c>
      <c r="E1081" s="141"/>
      <c r="F1081" s="141"/>
      <c r="G1081" s="141"/>
      <c r="H1081" s="141"/>
      <c r="J1081" s="141">
        <f t="shared" si="33"/>
        <v>2.0049999999999999</v>
      </c>
      <c r="K1081" s="141">
        <f t="shared" si="34"/>
        <v>36454.080000000009</v>
      </c>
    </row>
    <row r="1082" spans="1:11">
      <c r="A1082" s="141">
        <v>1082</v>
      </c>
      <c r="B1082" s="142">
        <v>43175</v>
      </c>
      <c r="C1082" s="149">
        <v>3.1999999999999993</v>
      </c>
      <c r="D1082" s="141">
        <v>10903.600000000009</v>
      </c>
      <c r="E1082" s="141"/>
      <c r="F1082" s="141"/>
      <c r="G1082" s="141"/>
      <c r="H1082" s="141"/>
      <c r="J1082" s="141">
        <f t="shared" si="33"/>
        <v>2.3199999999999998</v>
      </c>
      <c r="K1082" s="141">
        <f t="shared" si="34"/>
        <v>36509.760000000009</v>
      </c>
    </row>
    <row r="1083" spans="1:11">
      <c r="A1083" s="141">
        <v>1083</v>
      </c>
      <c r="B1083" s="142">
        <v>43176</v>
      </c>
      <c r="C1083" s="149">
        <v>-3.8999999999999986</v>
      </c>
      <c r="D1083" s="141">
        <v>10899.70000000001</v>
      </c>
      <c r="E1083" s="141"/>
      <c r="F1083" s="141"/>
      <c r="G1083" s="141"/>
      <c r="H1083" s="141"/>
      <c r="J1083" s="141">
        <f t="shared" si="33"/>
        <v>3.3849999999999998</v>
      </c>
      <c r="K1083" s="141">
        <f t="shared" si="34"/>
        <v>36591.000000000007</v>
      </c>
    </row>
    <row r="1084" spans="1:11">
      <c r="A1084" s="141">
        <v>1084</v>
      </c>
      <c r="B1084" s="142">
        <v>43177</v>
      </c>
      <c r="C1084" s="149">
        <v>-5.2999999999999972</v>
      </c>
      <c r="D1084" s="141">
        <v>10894.400000000011</v>
      </c>
      <c r="E1084" s="141"/>
      <c r="F1084" s="141"/>
      <c r="G1084" s="141"/>
      <c r="H1084" s="141"/>
      <c r="J1084" s="141">
        <f t="shared" si="33"/>
        <v>3.5949999999999998</v>
      </c>
      <c r="K1084" s="141">
        <f t="shared" si="34"/>
        <v>36677.280000000006</v>
      </c>
    </row>
    <row r="1085" spans="1:11">
      <c r="A1085" s="141">
        <v>1085</v>
      </c>
      <c r="B1085" s="142">
        <v>43178</v>
      </c>
      <c r="C1085" s="149">
        <v>-5.2999999999999972</v>
      </c>
      <c r="D1085" s="141">
        <v>10889.100000000011</v>
      </c>
      <c r="E1085" s="141"/>
      <c r="F1085" s="141"/>
      <c r="G1085" s="141"/>
      <c r="H1085" s="141"/>
      <c r="J1085" s="141">
        <f t="shared" si="33"/>
        <v>3.5949999999999998</v>
      </c>
      <c r="K1085" s="141">
        <f t="shared" si="34"/>
        <v>36763.560000000005</v>
      </c>
    </row>
    <row r="1086" spans="1:11">
      <c r="A1086" s="141">
        <v>1086</v>
      </c>
      <c r="B1086" s="142">
        <v>43179</v>
      </c>
      <c r="C1086" s="149">
        <v>-1.1000000000000014</v>
      </c>
      <c r="D1086" s="141">
        <v>10888.000000000011</v>
      </c>
      <c r="E1086" s="141"/>
      <c r="F1086" s="141"/>
      <c r="G1086" s="141"/>
      <c r="H1086" s="141"/>
      <c r="J1086" s="141">
        <f t="shared" si="33"/>
        <v>2.9650000000000003</v>
      </c>
      <c r="K1086" s="141">
        <f t="shared" si="34"/>
        <v>36834.720000000008</v>
      </c>
    </row>
    <row r="1087" spans="1:11">
      <c r="A1087" s="141">
        <v>1087</v>
      </c>
      <c r="B1087" s="142">
        <v>43180</v>
      </c>
      <c r="C1087" s="149">
        <v>-0.19999999999999929</v>
      </c>
      <c r="D1087" s="141">
        <v>10887.80000000001</v>
      </c>
      <c r="E1087" s="141"/>
      <c r="F1087" s="141"/>
      <c r="G1087" s="141"/>
      <c r="H1087" s="141"/>
      <c r="J1087" s="141">
        <f t="shared" si="33"/>
        <v>2.8299999999999996</v>
      </c>
      <c r="K1087" s="141">
        <f t="shared" si="34"/>
        <v>36902.640000000007</v>
      </c>
    </row>
    <row r="1088" spans="1:11">
      <c r="A1088" s="141">
        <v>1088</v>
      </c>
      <c r="B1088" s="142">
        <v>43181</v>
      </c>
      <c r="C1088" s="149">
        <v>0.5</v>
      </c>
      <c r="D1088" s="141">
        <v>10888.30000000001</v>
      </c>
      <c r="E1088" s="141"/>
      <c r="F1088" s="141"/>
      <c r="G1088" s="141"/>
      <c r="H1088" s="141"/>
      <c r="J1088" s="141">
        <f t="shared" si="33"/>
        <v>2.7250000000000001</v>
      </c>
      <c r="K1088" s="141">
        <f t="shared" si="34"/>
        <v>36968.040000000008</v>
      </c>
    </row>
    <row r="1089" spans="1:11">
      <c r="A1089" s="141">
        <v>1089</v>
      </c>
      <c r="B1089" s="142">
        <v>43182</v>
      </c>
      <c r="C1089" s="149">
        <v>2.3999999999999986</v>
      </c>
      <c r="D1089" s="141">
        <v>10890.70000000001</v>
      </c>
      <c r="E1089" s="141"/>
      <c r="F1089" s="141"/>
      <c r="G1089" s="141"/>
      <c r="H1089" s="141"/>
      <c r="J1089" s="141">
        <f t="shared" si="33"/>
        <v>2.44</v>
      </c>
      <c r="K1089" s="141">
        <f t="shared" si="34"/>
        <v>37026.600000000006</v>
      </c>
    </row>
    <row r="1090" spans="1:11">
      <c r="A1090" s="141">
        <v>1090</v>
      </c>
      <c r="B1090" s="142">
        <v>43183</v>
      </c>
      <c r="C1090" s="149">
        <v>3</v>
      </c>
      <c r="D1090" s="141">
        <v>10893.70000000001</v>
      </c>
      <c r="E1090" s="141"/>
      <c r="F1090" s="141"/>
      <c r="G1090" s="141"/>
      <c r="H1090" s="141"/>
      <c r="J1090" s="141">
        <f t="shared" si="33"/>
        <v>2.35</v>
      </c>
      <c r="K1090" s="141">
        <f t="shared" si="34"/>
        <v>37083.000000000007</v>
      </c>
    </row>
    <row r="1091" spans="1:11">
      <c r="A1091" s="141">
        <v>1091</v>
      </c>
      <c r="B1091" s="142">
        <v>43184</v>
      </c>
      <c r="C1091" s="149">
        <v>3.1999999999999993</v>
      </c>
      <c r="D1091" s="141">
        <v>10896.900000000011</v>
      </c>
      <c r="E1091" s="141"/>
      <c r="F1091" s="141"/>
      <c r="G1091" s="141"/>
      <c r="H1091" s="141"/>
      <c r="J1091" s="141">
        <f t="shared" si="33"/>
        <v>2.3199999999999998</v>
      </c>
      <c r="K1091" s="141">
        <f t="shared" si="34"/>
        <v>37138.680000000008</v>
      </c>
    </row>
    <row r="1092" spans="1:11">
      <c r="A1092" s="141">
        <v>1092</v>
      </c>
      <c r="B1092" s="142">
        <v>43185</v>
      </c>
      <c r="C1092" s="149">
        <v>2.8000000000000007</v>
      </c>
      <c r="D1092" s="141">
        <v>10899.70000000001</v>
      </c>
      <c r="E1092" s="141"/>
      <c r="F1092" s="141"/>
      <c r="G1092" s="141"/>
      <c r="H1092" s="141"/>
      <c r="J1092" s="141">
        <f t="shared" si="33"/>
        <v>2.38</v>
      </c>
      <c r="K1092" s="141">
        <f t="shared" si="34"/>
        <v>37195.80000000001</v>
      </c>
    </row>
    <row r="1093" spans="1:11">
      <c r="A1093" s="141">
        <v>1093</v>
      </c>
      <c r="B1093" s="142">
        <v>43186</v>
      </c>
      <c r="C1093" s="149">
        <v>4.3999999999999986</v>
      </c>
      <c r="D1093" s="141">
        <v>10904.100000000009</v>
      </c>
      <c r="E1093" s="141"/>
      <c r="F1093" s="141"/>
      <c r="G1093" s="141"/>
      <c r="H1093" s="141"/>
      <c r="J1093" s="141">
        <f t="shared" si="33"/>
        <v>2.14</v>
      </c>
      <c r="K1093" s="141">
        <f t="shared" si="34"/>
        <v>37247.160000000011</v>
      </c>
    </row>
    <row r="1094" spans="1:11">
      <c r="A1094" s="141">
        <v>1094</v>
      </c>
      <c r="B1094" s="142">
        <v>43187</v>
      </c>
      <c r="C1094" s="149">
        <v>4.6999999999999993</v>
      </c>
      <c r="D1094" s="141">
        <v>10908.80000000001</v>
      </c>
      <c r="E1094" s="141"/>
      <c r="F1094" s="141"/>
      <c r="G1094" s="141"/>
      <c r="H1094" s="141"/>
      <c r="J1094" s="141">
        <f t="shared" si="33"/>
        <v>2.0949999999999998</v>
      </c>
      <c r="K1094" s="141">
        <f t="shared" si="34"/>
        <v>37297.44000000001</v>
      </c>
    </row>
    <row r="1095" spans="1:11">
      <c r="A1095" s="141">
        <v>1095</v>
      </c>
      <c r="B1095" s="142">
        <v>43188</v>
      </c>
      <c r="C1095" s="149">
        <v>6.5</v>
      </c>
      <c r="D1095" s="141">
        <v>10915.30000000001</v>
      </c>
      <c r="E1095" s="141"/>
      <c r="F1095" s="141"/>
      <c r="G1095" s="141"/>
      <c r="H1095" s="141"/>
      <c r="J1095" s="141">
        <f t="shared" ref="J1095:J1158" si="35">J$1+(IF(J$3-$C1095&gt;0,J$3-$C1095,0)*J$2/30)</f>
        <v>1.825</v>
      </c>
      <c r="K1095" s="141">
        <f t="shared" ref="K1095:K1158" si="36">K1094+J1095*24</f>
        <v>37341.240000000013</v>
      </c>
    </row>
    <row r="1096" spans="1:11">
      <c r="A1096" s="141">
        <v>1096</v>
      </c>
      <c r="B1096" s="142">
        <v>43189</v>
      </c>
      <c r="C1096" s="149">
        <v>6.1999999999999993</v>
      </c>
      <c r="D1096" s="141">
        <v>10921.500000000011</v>
      </c>
      <c r="E1096" s="141"/>
      <c r="F1096" s="141"/>
      <c r="G1096" s="141"/>
      <c r="H1096" s="141"/>
      <c r="J1096" s="141">
        <f t="shared" si="35"/>
        <v>1.87</v>
      </c>
      <c r="K1096" s="141">
        <f t="shared" si="36"/>
        <v>37386.12000000001</v>
      </c>
    </row>
    <row r="1097" spans="1:11">
      <c r="A1097" s="141">
        <v>1097</v>
      </c>
      <c r="B1097" s="142">
        <v>43190</v>
      </c>
      <c r="C1097" s="149">
        <v>7</v>
      </c>
      <c r="D1097" s="141">
        <v>10928.500000000011</v>
      </c>
      <c r="E1097" s="141"/>
      <c r="F1097" s="141"/>
      <c r="G1097" s="141"/>
      <c r="H1097" s="141"/>
      <c r="J1097" s="141">
        <f t="shared" si="35"/>
        <v>1.75</v>
      </c>
      <c r="K1097" s="141">
        <f t="shared" si="36"/>
        <v>37428.12000000001</v>
      </c>
    </row>
    <row r="1098" spans="1:11">
      <c r="A1098" s="141">
        <v>1098</v>
      </c>
      <c r="B1098" s="142">
        <v>43191</v>
      </c>
      <c r="C1098" s="149">
        <v>5.8000000000000007</v>
      </c>
      <c r="D1098" s="141">
        <v>10934.30000000001</v>
      </c>
      <c r="E1098" s="141"/>
      <c r="F1098" s="141"/>
      <c r="G1098" s="141"/>
      <c r="H1098" s="141"/>
      <c r="J1098" s="141">
        <f t="shared" si="35"/>
        <v>1.93</v>
      </c>
      <c r="K1098" s="141">
        <f t="shared" si="36"/>
        <v>37474.44000000001</v>
      </c>
    </row>
    <row r="1099" spans="1:11">
      <c r="A1099" s="141">
        <v>1099</v>
      </c>
      <c r="B1099" s="142">
        <v>43192</v>
      </c>
      <c r="C1099" s="149">
        <v>6.1999999999999993</v>
      </c>
      <c r="D1099" s="141">
        <v>10940.500000000011</v>
      </c>
      <c r="E1099" s="141"/>
      <c r="F1099" s="141"/>
      <c r="G1099" s="141"/>
      <c r="H1099" s="141"/>
      <c r="J1099" s="141">
        <f t="shared" si="35"/>
        <v>1.87</v>
      </c>
      <c r="K1099" s="141">
        <f t="shared" si="36"/>
        <v>37519.320000000007</v>
      </c>
    </row>
    <row r="1100" spans="1:11">
      <c r="A1100" s="141">
        <v>1100</v>
      </c>
      <c r="B1100" s="142">
        <v>43193</v>
      </c>
      <c r="C1100" s="149">
        <v>12.3</v>
      </c>
      <c r="D1100" s="141">
        <v>10952.80000000001</v>
      </c>
      <c r="E1100" s="141"/>
      <c r="F1100" s="141"/>
      <c r="G1100" s="141"/>
      <c r="H1100" s="141"/>
      <c r="J1100" s="141">
        <f t="shared" si="35"/>
        <v>0.95499999999999996</v>
      </c>
      <c r="K1100" s="141">
        <f t="shared" si="36"/>
        <v>37542.240000000005</v>
      </c>
    </row>
    <row r="1101" spans="1:11">
      <c r="A1101" s="141">
        <v>1101</v>
      </c>
      <c r="B1101" s="142">
        <v>43194</v>
      </c>
      <c r="C1101" s="149">
        <v>12.8</v>
      </c>
      <c r="D1101" s="141">
        <v>10965.600000000009</v>
      </c>
      <c r="E1101" s="141"/>
      <c r="F1101" s="141"/>
      <c r="G1101" s="141"/>
      <c r="H1101" s="141"/>
      <c r="J1101" s="141">
        <f t="shared" si="35"/>
        <v>0.88</v>
      </c>
      <c r="K1101" s="141">
        <f t="shared" si="36"/>
        <v>37563.360000000008</v>
      </c>
    </row>
    <row r="1102" spans="1:11">
      <c r="A1102" s="141">
        <v>1102</v>
      </c>
      <c r="B1102" s="142">
        <v>43195</v>
      </c>
      <c r="C1102" s="149">
        <v>11.7</v>
      </c>
      <c r="D1102" s="141">
        <v>10977.30000000001</v>
      </c>
      <c r="E1102" s="141"/>
      <c r="F1102" s="141"/>
      <c r="G1102" s="141"/>
      <c r="H1102" s="141"/>
      <c r="J1102" s="141">
        <f t="shared" si="35"/>
        <v>1.0449999999999999</v>
      </c>
      <c r="K1102" s="141">
        <f t="shared" si="36"/>
        <v>37588.44000000001</v>
      </c>
    </row>
    <row r="1103" spans="1:11">
      <c r="A1103" s="141">
        <v>1103</v>
      </c>
      <c r="B1103" s="142">
        <v>43196</v>
      </c>
      <c r="C1103" s="149">
        <v>6.3999999999999986</v>
      </c>
      <c r="D1103" s="141">
        <v>10983.70000000001</v>
      </c>
      <c r="E1103" s="141"/>
      <c r="F1103" s="141"/>
      <c r="G1103" s="141"/>
      <c r="H1103" s="141"/>
      <c r="J1103" s="141">
        <f t="shared" si="35"/>
        <v>1.84</v>
      </c>
      <c r="K1103" s="141">
        <f t="shared" si="36"/>
        <v>37632.600000000013</v>
      </c>
    </row>
    <row r="1104" spans="1:11">
      <c r="A1104" s="141">
        <v>1104</v>
      </c>
      <c r="B1104" s="142">
        <v>43197</v>
      </c>
      <c r="C1104" s="149">
        <v>9.5</v>
      </c>
      <c r="D1104" s="141">
        <v>10993.20000000001</v>
      </c>
      <c r="E1104" s="141"/>
      <c r="F1104" s="141"/>
      <c r="G1104" s="141"/>
      <c r="H1104" s="141"/>
      <c r="J1104" s="141">
        <f t="shared" si="35"/>
        <v>1.375</v>
      </c>
      <c r="K1104" s="141">
        <f t="shared" si="36"/>
        <v>37665.600000000013</v>
      </c>
    </row>
    <row r="1105" spans="1:11">
      <c r="A1105" s="141">
        <v>1105</v>
      </c>
      <c r="B1105" s="142">
        <v>43198</v>
      </c>
      <c r="C1105" s="149">
        <v>8.8000000000000007</v>
      </c>
      <c r="D1105" s="141">
        <v>11002.000000000009</v>
      </c>
      <c r="E1105" s="141"/>
      <c r="F1105" s="141"/>
      <c r="G1105" s="141"/>
      <c r="H1105" s="141"/>
      <c r="J1105" s="141">
        <f t="shared" si="35"/>
        <v>1.48</v>
      </c>
      <c r="K1105" s="141">
        <f t="shared" si="36"/>
        <v>37701.12000000001</v>
      </c>
    </row>
    <row r="1106" spans="1:11">
      <c r="A1106" s="141">
        <v>1106</v>
      </c>
      <c r="B1106" s="142">
        <v>43199</v>
      </c>
      <c r="C1106" s="149">
        <v>11.100000000000001</v>
      </c>
      <c r="D1106" s="141">
        <v>11013.100000000009</v>
      </c>
      <c r="E1106" s="141"/>
      <c r="F1106" s="141"/>
      <c r="G1106" s="141"/>
      <c r="H1106" s="141"/>
      <c r="J1106" s="141">
        <f t="shared" si="35"/>
        <v>1.1349999999999998</v>
      </c>
      <c r="K1106" s="141">
        <f t="shared" si="36"/>
        <v>37728.360000000008</v>
      </c>
    </row>
    <row r="1107" spans="1:11">
      <c r="A1107" s="141">
        <v>1107</v>
      </c>
      <c r="B1107" s="142">
        <v>43200</v>
      </c>
      <c r="C1107" s="149">
        <v>15</v>
      </c>
      <c r="D1107" s="141">
        <v>11028.100000000009</v>
      </c>
      <c r="E1107" s="141"/>
      <c r="F1107" s="141"/>
      <c r="G1107" s="141"/>
      <c r="H1107" s="141"/>
      <c r="J1107" s="141">
        <f t="shared" si="35"/>
        <v>0.55000000000000004</v>
      </c>
      <c r="K1107" s="141">
        <f t="shared" si="36"/>
        <v>37741.560000000005</v>
      </c>
    </row>
    <row r="1108" spans="1:11">
      <c r="A1108" s="141">
        <v>1108</v>
      </c>
      <c r="B1108" s="142">
        <v>43201</v>
      </c>
      <c r="C1108" s="149">
        <v>14.2</v>
      </c>
      <c r="D1108" s="141">
        <v>11042.30000000001</v>
      </c>
      <c r="E1108" s="141"/>
      <c r="F1108" s="141"/>
      <c r="G1108" s="141"/>
      <c r="H1108" s="141"/>
      <c r="J1108" s="141">
        <f t="shared" si="35"/>
        <v>0.67000000000000015</v>
      </c>
      <c r="K1108" s="141">
        <f t="shared" si="36"/>
        <v>37757.640000000007</v>
      </c>
    </row>
    <row r="1109" spans="1:11">
      <c r="A1109" s="141">
        <v>1109</v>
      </c>
      <c r="B1109" s="142">
        <v>43202</v>
      </c>
      <c r="C1109" s="149">
        <v>17.100000000000001</v>
      </c>
      <c r="D1109" s="141">
        <v>11059.400000000011</v>
      </c>
      <c r="E1109" s="141"/>
      <c r="F1109" s="141"/>
      <c r="G1109" s="141"/>
      <c r="H1109" s="141"/>
      <c r="J1109" s="141">
        <f t="shared" si="35"/>
        <v>0.25</v>
      </c>
      <c r="K1109" s="141">
        <f t="shared" si="36"/>
        <v>37763.640000000007</v>
      </c>
    </row>
    <row r="1110" spans="1:11">
      <c r="A1110" s="141">
        <v>1110</v>
      </c>
      <c r="B1110" s="142">
        <v>43203</v>
      </c>
      <c r="C1110" s="149">
        <v>14.6</v>
      </c>
      <c r="D1110" s="141">
        <v>11074.000000000011</v>
      </c>
      <c r="E1110" s="141"/>
      <c r="F1110" s="141"/>
      <c r="G1110" s="141"/>
      <c r="H1110" s="141"/>
      <c r="J1110" s="141">
        <f t="shared" si="35"/>
        <v>0.6100000000000001</v>
      </c>
      <c r="K1110" s="141">
        <f t="shared" si="36"/>
        <v>37778.280000000006</v>
      </c>
    </row>
    <row r="1111" spans="1:11">
      <c r="A1111" s="141">
        <v>1111</v>
      </c>
      <c r="B1111" s="142">
        <v>43204</v>
      </c>
      <c r="C1111" s="149">
        <v>13.7</v>
      </c>
      <c r="D1111" s="141">
        <v>11087.700000000012</v>
      </c>
      <c r="E1111" s="141"/>
      <c r="F1111" s="141"/>
      <c r="G1111" s="141"/>
      <c r="H1111" s="141"/>
      <c r="J1111" s="141">
        <f t="shared" si="35"/>
        <v>0.74500000000000011</v>
      </c>
      <c r="K1111" s="141">
        <f t="shared" si="36"/>
        <v>37796.160000000003</v>
      </c>
    </row>
    <row r="1112" spans="1:11">
      <c r="A1112" s="141">
        <v>1112</v>
      </c>
      <c r="B1112" s="142">
        <v>43205</v>
      </c>
      <c r="C1112" s="149">
        <v>14.4</v>
      </c>
      <c r="D1112" s="141">
        <v>11102.100000000011</v>
      </c>
      <c r="E1112" s="141"/>
      <c r="F1112" s="141"/>
      <c r="G1112" s="141"/>
      <c r="H1112" s="141"/>
      <c r="J1112" s="141">
        <f t="shared" si="35"/>
        <v>0.6399999999999999</v>
      </c>
      <c r="K1112" s="141">
        <f t="shared" si="36"/>
        <v>37811.520000000004</v>
      </c>
    </row>
    <row r="1113" spans="1:11">
      <c r="A1113" s="141">
        <v>1113</v>
      </c>
      <c r="B1113" s="142">
        <v>43206</v>
      </c>
      <c r="C1113" s="149">
        <v>13.7</v>
      </c>
      <c r="D1113" s="141">
        <v>11115.800000000012</v>
      </c>
      <c r="E1113" s="141"/>
      <c r="F1113" s="141"/>
      <c r="G1113" s="141"/>
      <c r="H1113" s="141"/>
      <c r="J1113" s="141">
        <f t="shared" si="35"/>
        <v>0.74500000000000011</v>
      </c>
      <c r="K1113" s="141">
        <f t="shared" si="36"/>
        <v>37829.4</v>
      </c>
    </row>
    <row r="1114" spans="1:11">
      <c r="A1114" s="141">
        <v>1114</v>
      </c>
      <c r="B1114" s="142">
        <v>43207</v>
      </c>
      <c r="C1114" s="149">
        <v>13.8</v>
      </c>
      <c r="D1114" s="141">
        <v>11129.600000000011</v>
      </c>
      <c r="E1114" s="141"/>
      <c r="F1114" s="141"/>
      <c r="G1114" s="141"/>
      <c r="H1114" s="141"/>
      <c r="J1114" s="141">
        <f t="shared" si="35"/>
        <v>0.72999999999999987</v>
      </c>
      <c r="K1114" s="141">
        <f t="shared" si="36"/>
        <v>37846.92</v>
      </c>
    </row>
    <row r="1115" spans="1:11">
      <c r="A1115" s="141">
        <v>1115</v>
      </c>
      <c r="B1115" s="142">
        <v>43208</v>
      </c>
      <c r="C1115" s="149">
        <v>13.8</v>
      </c>
      <c r="D1115" s="141">
        <v>11143.400000000011</v>
      </c>
      <c r="E1115" s="141"/>
      <c r="F1115" s="141"/>
      <c r="G1115" s="141"/>
      <c r="H1115" s="141"/>
      <c r="J1115" s="141">
        <f t="shared" si="35"/>
        <v>0.72999999999999987</v>
      </c>
      <c r="K1115" s="141">
        <f t="shared" si="36"/>
        <v>37864.439999999995</v>
      </c>
    </row>
    <row r="1116" spans="1:11">
      <c r="A1116" s="141">
        <v>1116</v>
      </c>
      <c r="B1116" s="142">
        <v>43209</v>
      </c>
      <c r="C1116" s="149">
        <v>15.8</v>
      </c>
      <c r="D1116" s="141">
        <v>11159.20000000001</v>
      </c>
      <c r="E1116" s="141"/>
      <c r="F1116" s="141"/>
      <c r="G1116" s="141"/>
      <c r="H1116" s="141"/>
      <c r="J1116" s="141">
        <f t="shared" si="35"/>
        <v>0.42999999999999988</v>
      </c>
      <c r="K1116" s="141">
        <f t="shared" si="36"/>
        <v>37874.759999999995</v>
      </c>
    </row>
    <row r="1117" spans="1:11">
      <c r="A1117" s="141">
        <v>1117</v>
      </c>
      <c r="B1117" s="142">
        <v>43210</v>
      </c>
      <c r="C1117" s="149">
        <v>18.100000000000001</v>
      </c>
      <c r="D1117" s="141">
        <v>11177.30000000001</v>
      </c>
      <c r="E1117" s="141"/>
      <c r="F1117" s="141"/>
      <c r="G1117" s="141"/>
      <c r="H1117" s="141"/>
      <c r="J1117" s="141">
        <f t="shared" si="35"/>
        <v>0.25</v>
      </c>
      <c r="K1117" s="141">
        <f t="shared" si="36"/>
        <v>37880.759999999995</v>
      </c>
    </row>
    <row r="1118" spans="1:11">
      <c r="A1118" s="141">
        <v>1118</v>
      </c>
      <c r="B1118" s="142">
        <v>43211</v>
      </c>
      <c r="C1118" s="149">
        <v>18.399999999999999</v>
      </c>
      <c r="D1118" s="141">
        <v>11195.70000000001</v>
      </c>
      <c r="E1118" s="141"/>
      <c r="F1118" s="141"/>
      <c r="G1118" s="141"/>
      <c r="H1118" s="141"/>
      <c r="J1118" s="141">
        <f t="shared" si="35"/>
        <v>0.25</v>
      </c>
      <c r="K1118" s="141">
        <f t="shared" si="36"/>
        <v>37886.759999999995</v>
      </c>
    </row>
    <row r="1119" spans="1:11">
      <c r="A1119" s="141">
        <v>1119</v>
      </c>
      <c r="B1119" s="142">
        <v>43212</v>
      </c>
      <c r="C1119" s="149">
        <v>18.2</v>
      </c>
      <c r="D1119" s="141">
        <v>11213.900000000011</v>
      </c>
      <c r="E1119" s="141"/>
      <c r="F1119" s="141"/>
      <c r="G1119" s="141"/>
      <c r="H1119" s="141"/>
      <c r="J1119" s="141">
        <f t="shared" si="35"/>
        <v>0.25</v>
      </c>
      <c r="K1119" s="141">
        <f t="shared" si="36"/>
        <v>37892.759999999995</v>
      </c>
    </row>
    <row r="1120" spans="1:11">
      <c r="A1120" s="141">
        <v>1120</v>
      </c>
      <c r="B1120" s="142">
        <v>43213</v>
      </c>
      <c r="C1120" s="149">
        <v>17</v>
      </c>
      <c r="D1120" s="141">
        <v>11230.900000000011</v>
      </c>
      <c r="E1120" s="141"/>
      <c r="F1120" s="141"/>
      <c r="G1120" s="141"/>
      <c r="H1120" s="141"/>
      <c r="J1120" s="141">
        <f t="shared" si="35"/>
        <v>0.25</v>
      </c>
      <c r="K1120" s="141">
        <f t="shared" si="36"/>
        <v>37898.759999999995</v>
      </c>
    </row>
    <row r="1121" spans="1:11">
      <c r="A1121" s="141">
        <v>1121</v>
      </c>
      <c r="B1121" s="142">
        <v>43214</v>
      </c>
      <c r="C1121" s="149">
        <v>16.100000000000001</v>
      </c>
      <c r="D1121" s="141">
        <v>11247.000000000011</v>
      </c>
      <c r="E1121" s="141"/>
      <c r="F1121" s="141"/>
      <c r="G1121" s="141"/>
      <c r="H1121" s="141"/>
      <c r="J1121" s="141">
        <f t="shared" si="35"/>
        <v>0.38499999999999979</v>
      </c>
      <c r="K1121" s="141">
        <f t="shared" si="36"/>
        <v>37907.999999999993</v>
      </c>
    </row>
    <row r="1122" spans="1:11">
      <c r="A1122" s="141">
        <v>1122</v>
      </c>
      <c r="B1122" s="142">
        <v>43215</v>
      </c>
      <c r="C1122" s="149">
        <v>15.9</v>
      </c>
      <c r="D1122" s="141">
        <v>11262.900000000011</v>
      </c>
      <c r="E1122" s="141"/>
      <c r="F1122" s="141"/>
      <c r="G1122" s="141"/>
      <c r="H1122" s="141"/>
      <c r="J1122" s="141">
        <f t="shared" si="35"/>
        <v>0.41499999999999992</v>
      </c>
      <c r="K1122" s="141">
        <f t="shared" si="36"/>
        <v>37917.959999999992</v>
      </c>
    </row>
    <row r="1123" spans="1:11">
      <c r="A1123" s="141">
        <v>1123</v>
      </c>
      <c r="B1123" s="142">
        <v>43216</v>
      </c>
      <c r="C1123" s="149">
        <v>12.7</v>
      </c>
      <c r="D1123" s="141">
        <v>11275.600000000011</v>
      </c>
      <c r="E1123" s="141"/>
      <c r="F1123" s="141"/>
      <c r="G1123" s="141"/>
      <c r="H1123" s="141"/>
      <c r="J1123" s="141">
        <f t="shared" si="35"/>
        <v>0.89500000000000002</v>
      </c>
      <c r="K1123" s="141">
        <f t="shared" si="36"/>
        <v>37939.439999999995</v>
      </c>
    </row>
    <row r="1124" spans="1:11">
      <c r="A1124" s="141">
        <v>1124</v>
      </c>
      <c r="B1124" s="142">
        <v>43217</v>
      </c>
      <c r="C1124" s="149">
        <v>11.5</v>
      </c>
      <c r="D1124" s="141">
        <v>11287.100000000011</v>
      </c>
      <c r="E1124" s="141"/>
      <c r="F1124" s="141"/>
      <c r="G1124" s="141"/>
      <c r="H1124" s="141"/>
      <c r="J1124" s="141">
        <f t="shared" si="35"/>
        <v>1.075</v>
      </c>
      <c r="K1124" s="141">
        <f t="shared" si="36"/>
        <v>37965.24</v>
      </c>
    </row>
    <row r="1125" spans="1:11">
      <c r="A1125" s="141">
        <v>1125</v>
      </c>
      <c r="B1125" s="142">
        <v>43218</v>
      </c>
      <c r="C1125" s="149">
        <v>15.6</v>
      </c>
      <c r="D1125" s="141">
        <v>11302.700000000012</v>
      </c>
      <c r="E1125" s="141"/>
      <c r="F1125" s="141"/>
      <c r="G1125" s="141"/>
      <c r="H1125" s="141"/>
      <c r="J1125" s="141">
        <f t="shared" si="35"/>
        <v>0.46000000000000008</v>
      </c>
      <c r="K1125" s="141">
        <f t="shared" si="36"/>
        <v>37976.28</v>
      </c>
    </row>
    <row r="1126" spans="1:11">
      <c r="A1126" s="141">
        <v>1126</v>
      </c>
      <c r="B1126" s="142">
        <v>43219</v>
      </c>
      <c r="C1126" s="149">
        <v>18.5</v>
      </c>
      <c r="D1126" s="141">
        <v>11321.200000000012</v>
      </c>
      <c r="E1126" s="141"/>
      <c r="F1126" s="141"/>
      <c r="G1126" s="141"/>
      <c r="H1126" s="141"/>
      <c r="J1126" s="141">
        <f t="shared" si="35"/>
        <v>0.25</v>
      </c>
      <c r="K1126" s="141">
        <f t="shared" si="36"/>
        <v>37982.28</v>
      </c>
    </row>
    <row r="1127" spans="1:11">
      <c r="A1127" s="141">
        <v>1127</v>
      </c>
      <c r="B1127" s="142">
        <v>43220</v>
      </c>
      <c r="C1127" s="149">
        <v>18.3</v>
      </c>
      <c r="D1127" s="141">
        <v>11339.500000000011</v>
      </c>
      <c r="E1127" s="141"/>
      <c r="F1127" s="141"/>
      <c r="G1127" s="141"/>
      <c r="H1127" s="141"/>
      <c r="J1127" s="141">
        <f t="shared" si="35"/>
        <v>0.25</v>
      </c>
      <c r="K1127" s="141">
        <f t="shared" si="36"/>
        <v>37988.28</v>
      </c>
    </row>
    <row r="1128" spans="1:11">
      <c r="A1128" s="141">
        <v>1128</v>
      </c>
      <c r="B1128" s="142">
        <v>43221</v>
      </c>
      <c r="C1128" s="149">
        <v>14.6</v>
      </c>
      <c r="D1128" s="141">
        <v>11354.100000000011</v>
      </c>
      <c r="E1128" s="141"/>
      <c r="F1128" s="141"/>
      <c r="G1128" s="141"/>
      <c r="H1128" s="141"/>
      <c r="J1128" s="141">
        <f t="shared" si="35"/>
        <v>0.6100000000000001</v>
      </c>
      <c r="K1128" s="141">
        <f t="shared" si="36"/>
        <v>38002.92</v>
      </c>
    </row>
    <row r="1129" spans="1:11">
      <c r="A1129" s="141">
        <v>1129</v>
      </c>
      <c r="B1129" s="142">
        <v>43222</v>
      </c>
      <c r="C1129" s="149">
        <v>15.6</v>
      </c>
      <c r="D1129" s="141">
        <v>11369.700000000012</v>
      </c>
      <c r="E1129" s="141"/>
      <c r="F1129" s="141"/>
      <c r="G1129" s="141"/>
      <c r="H1129" s="141"/>
      <c r="J1129" s="141">
        <f t="shared" si="35"/>
        <v>0.46000000000000008</v>
      </c>
      <c r="K1129" s="141">
        <f t="shared" si="36"/>
        <v>38013.96</v>
      </c>
    </row>
    <row r="1130" spans="1:11">
      <c r="A1130" s="141">
        <v>1130</v>
      </c>
      <c r="B1130" s="142">
        <v>43223</v>
      </c>
      <c r="C1130" s="149">
        <v>15.3</v>
      </c>
      <c r="D1130" s="141">
        <v>11385.000000000011</v>
      </c>
      <c r="E1130" s="141"/>
      <c r="F1130" s="141"/>
      <c r="G1130" s="141"/>
      <c r="H1130" s="141"/>
      <c r="J1130" s="141">
        <f t="shared" si="35"/>
        <v>0.50499999999999989</v>
      </c>
      <c r="K1130" s="141">
        <f t="shared" si="36"/>
        <v>38026.080000000002</v>
      </c>
    </row>
    <row r="1131" spans="1:11">
      <c r="A1131" s="141">
        <v>1131</v>
      </c>
      <c r="B1131" s="142">
        <v>43224</v>
      </c>
      <c r="C1131" s="149">
        <v>14.6</v>
      </c>
      <c r="D1131" s="141">
        <v>11399.600000000011</v>
      </c>
      <c r="E1131" s="141"/>
      <c r="F1131" s="141"/>
      <c r="G1131" s="141"/>
      <c r="H1131" s="141"/>
      <c r="J1131" s="141">
        <f t="shared" si="35"/>
        <v>0.6100000000000001</v>
      </c>
      <c r="K1131" s="141">
        <f t="shared" si="36"/>
        <v>38040.720000000001</v>
      </c>
    </row>
    <row r="1132" spans="1:11">
      <c r="A1132" s="141">
        <v>1132</v>
      </c>
      <c r="B1132" s="142">
        <v>43225</v>
      </c>
      <c r="C1132" s="149">
        <v>14.4</v>
      </c>
      <c r="D1132" s="141">
        <v>11414.000000000011</v>
      </c>
      <c r="E1132" s="141"/>
      <c r="F1132" s="141"/>
      <c r="G1132" s="141"/>
      <c r="H1132" s="141"/>
      <c r="J1132" s="141">
        <f t="shared" si="35"/>
        <v>0.6399999999999999</v>
      </c>
      <c r="K1132" s="141">
        <f t="shared" si="36"/>
        <v>38056.080000000002</v>
      </c>
    </row>
    <row r="1133" spans="1:11">
      <c r="A1133" s="141">
        <v>1133</v>
      </c>
      <c r="B1133" s="142">
        <v>43226</v>
      </c>
      <c r="C1133" s="149">
        <v>14.3</v>
      </c>
      <c r="D1133" s="141">
        <v>11428.30000000001</v>
      </c>
      <c r="E1133" s="141"/>
      <c r="F1133" s="141"/>
      <c r="G1133" s="141"/>
      <c r="H1133" s="141"/>
      <c r="J1133" s="141">
        <f t="shared" si="35"/>
        <v>0.65499999999999992</v>
      </c>
      <c r="K1133" s="141">
        <f t="shared" si="36"/>
        <v>38071.800000000003</v>
      </c>
    </row>
    <row r="1134" spans="1:11">
      <c r="A1134" s="141">
        <v>1134</v>
      </c>
      <c r="B1134" s="142">
        <v>43227</v>
      </c>
      <c r="C1134" s="149">
        <v>16.100000000000001</v>
      </c>
      <c r="D1134" s="141">
        <v>11444.400000000011</v>
      </c>
      <c r="E1134" s="141"/>
      <c r="F1134" s="141"/>
      <c r="G1134" s="141"/>
      <c r="H1134" s="141"/>
      <c r="J1134" s="141">
        <f t="shared" si="35"/>
        <v>0.38499999999999979</v>
      </c>
      <c r="K1134" s="141">
        <f t="shared" si="36"/>
        <v>38081.040000000001</v>
      </c>
    </row>
    <row r="1135" spans="1:11">
      <c r="A1135" s="141">
        <v>1135</v>
      </c>
      <c r="B1135" s="142">
        <v>43228</v>
      </c>
      <c r="C1135" s="149">
        <v>17.3</v>
      </c>
      <c r="D1135" s="141">
        <v>11461.70000000001</v>
      </c>
      <c r="E1135" s="141"/>
      <c r="F1135" s="141"/>
      <c r="G1135" s="141"/>
      <c r="H1135" s="141"/>
      <c r="J1135" s="141">
        <f t="shared" si="35"/>
        <v>0.25</v>
      </c>
      <c r="K1135" s="141">
        <f t="shared" si="36"/>
        <v>38087.040000000001</v>
      </c>
    </row>
    <row r="1136" spans="1:11">
      <c r="A1136" s="141">
        <v>1136</v>
      </c>
      <c r="B1136" s="142">
        <v>43229</v>
      </c>
      <c r="C1136" s="149">
        <v>17.5</v>
      </c>
      <c r="D1136" s="141">
        <v>11479.20000000001</v>
      </c>
      <c r="E1136" s="141"/>
      <c r="F1136" s="141"/>
      <c r="G1136" s="141"/>
      <c r="H1136" s="141"/>
      <c r="J1136" s="141">
        <f t="shared" si="35"/>
        <v>0.25</v>
      </c>
      <c r="K1136" s="141">
        <f t="shared" si="36"/>
        <v>38093.040000000001</v>
      </c>
    </row>
    <row r="1137" spans="1:11">
      <c r="A1137" s="141">
        <v>1137</v>
      </c>
      <c r="B1137" s="142">
        <v>43230</v>
      </c>
      <c r="C1137" s="149">
        <v>18.2</v>
      </c>
      <c r="D1137" s="141">
        <v>11497.400000000011</v>
      </c>
      <c r="E1137" s="141"/>
      <c r="F1137" s="141"/>
      <c r="G1137" s="141"/>
      <c r="H1137" s="141"/>
      <c r="J1137" s="141">
        <f t="shared" si="35"/>
        <v>0.25</v>
      </c>
      <c r="K1137" s="141">
        <f t="shared" si="36"/>
        <v>38099.040000000001</v>
      </c>
    </row>
    <row r="1138" spans="1:11">
      <c r="A1138" s="141">
        <v>1138</v>
      </c>
      <c r="B1138" s="142">
        <v>43231</v>
      </c>
      <c r="C1138" s="149">
        <v>16.600000000000001</v>
      </c>
      <c r="D1138" s="141">
        <v>11514.000000000011</v>
      </c>
      <c r="E1138" s="141"/>
      <c r="F1138" s="141"/>
      <c r="G1138" s="141"/>
      <c r="H1138" s="141"/>
      <c r="J1138" s="141">
        <f t="shared" si="35"/>
        <v>0.30999999999999978</v>
      </c>
      <c r="K1138" s="141">
        <f t="shared" si="36"/>
        <v>38106.480000000003</v>
      </c>
    </row>
    <row r="1139" spans="1:11">
      <c r="A1139" s="141">
        <v>1139</v>
      </c>
      <c r="B1139" s="142">
        <v>43232</v>
      </c>
      <c r="C1139" s="149">
        <v>17.5</v>
      </c>
      <c r="D1139" s="141">
        <v>11531.500000000011</v>
      </c>
      <c r="E1139" s="141"/>
      <c r="F1139" s="141"/>
      <c r="G1139" s="141"/>
      <c r="H1139" s="141"/>
      <c r="J1139" s="141">
        <f t="shared" si="35"/>
        <v>0.25</v>
      </c>
      <c r="K1139" s="141">
        <f t="shared" si="36"/>
        <v>38112.480000000003</v>
      </c>
    </row>
    <row r="1140" spans="1:11">
      <c r="A1140" s="141">
        <v>1140</v>
      </c>
      <c r="B1140" s="142">
        <v>43233</v>
      </c>
      <c r="C1140" s="149">
        <v>18.8</v>
      </c>
      <c r="D1140" s="141">
        <v>11550.30000000001</v>
      </c>
      <c r="E1140" s="141"/>
      <c r="F1140" s="141"/>
      <c r="G1140" s="141"/>
      <c r="H1140" s="141"/>
      <c r="J1140" s="141">
        <f t="shared" si="35"/>
        <v>0.25</v>
      </c>
      <c r="K1140" s="141">
        <f t="shared" si="36"/>
        <v>38118.480000000003</v>
      </c>
    </row>
    <row r="1141" spans="1:11">
      <c r="A1141" s="141">
        <v>1141</v>
      </c>
      <c r="B1141" s="142">
        <v>43234</v>
      </c>
      <c r="C1141" s="149">
        <v>17.3</v>
      </c>
      <c r="D1141" s="141">
        <v>11567.600000000009</v>
      </c>
      <c r="E1141" s="141"/>
      <c r="F1141" s="141"/>
      <c r="G1141" s="141"/>
      <c r="H1141" s="141"/>
      <c r="J1141" s="141">
        <f t="shared" si="35"/>
        <v>0.25</v>
      </c>
      <c r="K1141" s="141">
        <f t="shared" si="36"/>
        <v>38124.480000000003</v>
      </c>
    </row>
    <row r="1142" spans="1:11">
      <c r="A1142" s="141">
        <v>1142</v>
      </c>
      <c r="B1142" s="142">
        <v>43235</v>
      </c>
      <c r="C1142" s="149">
        <v>14</v>
      </c>
      <c r="D1142" s="141">
        <v>11581.600000000009</v>
      </c>
      <c r="E1142" s="141"/>
      <c r="F1142" s="141"/>
      <c r="G1142" s="141"/>
      <c r="H1142" s="141"/>
      <c r="J1142" s="141">
        <f t="shared" si="35"/>
        <v>0.7</v>
      </c>
      <c r="K1142" s="141">
        <f t="shared" si="36"/>
        <v>38141.280000000006</v>
      </c>
    </row>
    <row r="1143" spans="1:11">
      <c r="A1143" s="141">
        <v>1143</v>
      </c>
      <c r="B1143" s="142">
        <v>43236</v>
      </c>
      <c r="C1143" s="149">
        <v>12.3</v>
      </c>
      <c r="D1143" s="141">
        <v>11593.900000000009</v>
      </c>
      <c r="E1143" s="141"/>
      <c r="F1143" s="141"/>
      <c r="G1143" s="141"/>
      <c r="H1143" s="141"/>
      <c r="J1143" s="141">
        <f t="shared" si="35"/>
        <v>0.95499999999999996</v>
      </c>
      <c r="K1143" s="141">
        <f t="shared" si="36"/>
        <v>38164.200000000004</v>
      </c>
    </row>
    <row r="1144" spans="1:11">
      <c r="A1144" s="141">
        <v>1144</v>
      </c>
      <c r="B1144" s="142">
        <v>43237</v>
      </c>
      <c r="C1144" s="149">
        <v>13.600000000000001</v>
      </c>
      <c r="D1144" s="141">
        <v>11607.500000000009</v>
      </c>
      <c r="E1144" s="141"/>
      <c r="F1144" s="141"/>
      <c r="G1144" s="141"/>
      <c r="H1144" s="141"/>
      <c r="J1144" s="141">
        <f t="shared" si="35"/>
        <v>0.75999999999999979</v>
      </c>
      <c r="K1144" s="141">
        <f t="shared" si="36"/>
        <v>38182.44</v>
      </c>
    </row>
    <row r="1145" spans="1:11">
      <c r="A1145" s="141">
        <v>1145</v>
      </c>
      <c r="B1145" s="142">
        <v>43238</v>
      </c>
      <c r="C1145" s="149">
        <v>14.3</v>
      </c>
      <c r="D1145" s="141">
        <v>11621.800000000008</v>
      </c>
      <c r="E1145" s="141"/>
      <c r="F1145" s="141"/>
      <c r="G1145" s="141"/>
      <c r="H1145" s="141"/>
      <c r="J1145" s="141">
        <f t="shared" si="35"/>
        <v>0.65499999999999992</v>
      </c>
      <c r="K1145" s="141">
        <f t="shared" si="36"/>
        <v>38198.160000000003</v>
      </c>
    </row>
    <row r="1146" spans="1:11">
      <c r="A1146" s="141">
        <v>1146</v>
      </c>
      <c r="B1146" s="142">
        <v>43239</v>
      </c>
      <c r="C1146" s="149">
        <v>14</v>
      </c>
      <c r="D1146" s="141">
        <v>11635.800000000008</v>
      </c>
      <c r="E1146" s="141"/>
      <c r="F1146" s="141"/>
      <c r="G1146" s="141"/>
      <c r="H1146" s="141"/>
      <c r="J1146" s="141">
        <f t="shared" si="35"/>
        <v>0.7</v>
      </c>
      <c r="K1146" s="141">
        <f t="shared" si="36"/>
        <v>38214.960000000006</v>
      </c>
    </row>
    <row r="1147" spans="1:11">
      <c r="A1147" s="141">
        <v>1147</v>
      </c>
      <c r="B1147" s="142">
        <v>43240</v>
      </c>
      <c r="C1147" s="149">
        <v>15.7</v>
      </c>
      <c r="D1147" s="141">
        <v>11651.500000000009</v>
      </c>
      <c r="E1147" s="141"/>
      <c r="F1147" s="141"/>
      <c r="G1147" s="141"/>
      <c r="H1147" s="141"/>
      <c r="J1147" s="141">
        <f t="shared" si="35"/>
        <v>0.44500000000000012</v>
      </c>
      <c r="K1147" s="141">
        <f t="shared" si="36"/>
        <v>38225.640000000007</v>
      </c>
    </row>
    <row r="1148" spans="1:11">
      <c r="A1148" s="141">
        <v>1148</v>
      </c>
      <c r="B1148" s="142">
        <v>43241</v>
      </c>
      <c r="C1148" s="149">
        <v>16.399999999999999</v>
      </c>
      <c r="D1148" s="141">
        <v>11667.900000000009</v>
      </c>
      <c r="E1148" s="141"/>
      <c r="F1148" s="141"/>
      <c r="G1148" s="141"/>
      <c r="H1148" s="141"/>
      <c r="J1148" s="141">
        <f t="shared" si="35"/>
        <v>0.34000000000000019</v>
      </c>
      <c r="K1148" s="141">
        <f t="shared" si="36"/>
        <v>38233.80000000001</v>
      </c>
    </row>
    <row r="1149" spans="1:11">
      <c r="A1149" s="141">
        <v>1149</v>
      </c>
      <c r="B1149" s="142">
        <v>43242</v>
      </c>
      <c r="C1149" s="149">
        <v>17.399999999999999</v>
      </c>
      <c r="D1149" s="141">
        <v>11685.300000000008</v>
      </c>
      <c r="E1149" s="141"/>
      <c r="F1149" s="141"/>
      <c r="G1149" s="141"/>
      <c r="H1149" s="141"/>
      <c r="J1149" s="141">
        <f t="shared" si="35"/>
        <v>0.25</v>
      </c>
      <c r="K1149" s="141">
        <f t="shared" si="36"/>
        <v>38239.80000000001</v>
      </c>
    </row>
    <row r="1150" spans="1:11">
      <c r="A1150" s="141">
        <v>1150</v>
      </c>
      <c r="B1150" s="142">
        <v>43243</v>
      </c>
      <c r="C1150" s="149">
        <v>18.5</v>
      </c>
      <c r="D1150" s="141">
        <v>11703.800000000008</v>
      </c>
      <c r="E1150" s="141"/>
      <c r="F1150" s="141"/>
      <c r="G1150" s="141"/>
      <c r="H1150" s="141"/>
      <c r="J1150" s="141">
        <f t="shared" si="35"/>
        <v>0.25</v>
      </c>
      <c r="K1150" s="141">
        <f t="shared" si="36"/>
        <v>38245.80000000001</v>
      </c>
    </row>
    <row r="1151" spans="1:11">
      <c r="A1151" s="141">
        <v>1151</v>
      </c>
      <c r="B1151" s="142">
        <v>43244</v>
      </c>
      <c r="C1151" s="149">
        <v>19.399999999999999</v>
      </c>
      <c r="D1151" s="141">
        <v>11723.200000000008</v>
      </c>
      <c r="E1151" s="141"/>
      <c r="F1151" s="141"/>
      <c r="G1151" s="141"/>
      <c r="H1151" s="141"/>
      <c r="J1151" s="141">
        <f t="shared" si="35"/>
        <v>0.25</v>
      </c>
      <c r="K1151" s="141">
        <f t="shared" si="36"/>
        <v>38251.80000000001</v>
      </c>
    </row>
    <row r="1152" spans="1:11">
      <c r="A1152" s="141">
        <v>1152</v>
      </c>
      <c r="B1152" s="142">
        <v>43245</v>
      </c>
      <c r="C1152" s="149">
        <v>19.600000000000001</v>
      </c>
      <c r="D1152" s="141">
        <v>11742.800000000008</v>
      </c>
      <c r="E1152" s="141"/>
      <c r="F1152" s="141"/>
      <c r="G1152" s="141"/>
      <c r="H1152" s="141"/>
      <c r="J1152" s="141">
        <f t="shared" si="35"/>
        <v>0.25</v>
      </c>
      <c r="K1152" s="141">
        <f t="shared" si="36"/>
        <v>38257.80000000001</v>
      </c>
    </row>
    <row r="1153" spans="1:11">
      <c r="A1153" s="141">
        <v>1153</v>
      </c>
      <c r="B1153" s="142">
        <v>43246</v>
      </c>
      <c r="C1153" s="149">
        <v>20.100000000000001</v>
      </c>
      <c r="D1153" s="141">
        <v>11762.900000000009</v>
      </c>
      <c r="E1153" s="141"/>
      <c r="F1153" s="141"/>
      <c r="G1153" s="141"/>
      <c r="H1153" s="141"/>
      <c r="J1153" s="141">
        <f t="shared" si="35"/>
        <v>0.25</v>
      </c>
      <c r="K1153" s="141">
        <f t="shared" si="36"/>
        <v>38263.80000000001</v>
      </c>
    </row>
    <row r="1154" spans="1:11">
      <c r="A1154" s="141">
        <v>1154</v>
      </c>
      <c r="B1154" s="142">
        <v>43247</v>
      </c>
      <c r="C1154" s="149">
        <v>21.4</v>
      </c>
      <c r="D1154" s="141">
        <v>11784.300000000008</v>
      </c>
      <c r="E1154" s="141"/>
      <c r="F1154" s="141"/>
      <c r="G1154" s="141"/>
      <c r="H1154" s="141"/>
      <c r="J1154" s="141">
        <f t="shared" si="35"/>
        <v>0.25</v>
      </c>
      <c r="K1154" s="141">
        <f t="shared" si="36"/>
        <v>38269.80000000001</v>
      </c>
    </row>
    <row r="1155" spans="1:11">
      <c r="A1155" s="141">
        <v>1155</v>
      </c>
      <c r="B1155" s="142">
        <v>43248</v>
      </c>
      <c r="C1155" s="149">
        <v>23.1</v>
      </c>
      <c r="D1155" s="141">
        <v>11807.400000000009</v>
      </c>
      <c r="E1155" s="141"/>
      <c r="F1155" s="141"/>
      <c r="G1155" s="141"/>
      <c r="H1155" s="141"/>
      <c r="J1155" s="141">
        <f t="shared" si="35"/>
        <v>0.25</v>
      </c>
      <c r="K1155" s="141">
        <f t="shared" si="36"/>
        <v>38275.80000000001</v>
      </c>
    </row>
    <row r="1156" spans="1:11">
      <c r="A1156" s="141">
        <v>1156</v>
      </c>
      <c r="B1156" s="142">
        <v>43249</v>
      </c>
      <c r="C1156" s="149">
        <v>23.5</v>
      </c>
      <c r="D1156" s="141">
        <v>11830.900000000009</v>
      </c>
      <c r="E1156" s="141"/>
      <c r="F1156" s="141"/>
      <c r="G1156" s="141"/>
      <c r="H1156" s="141"/>
      <c r="J1156" s="141">
        <f t="shared" si="35"/>
        <v>0.25</v>
      </c>
      <c r="K1156" s="141">
        <f t="shared" si="36"/>
        <v>38281.80000000001</v>
      </c>
    </row>
    <row r="1157" spans="1:11">
      <c r="A1157" s="141">
        <v>1157</v>
      </c>
      <c r="B1157" s="142">
        <v>43250</v>
      </c>
      <c r="C1157" s="149">
        <v>20.7</v>
      </c>
      <c r="D1157" s="141">
        <v>11851.600000000009</v>
      </c>
      <c r="E1157" s="141"/>
      <c r="F1157" s="141"/>
      <c r="G1157" s="141"/>
      <c r="H1157" s="141"/>
      <c r="J1157" s="141">
        <f t="shared" si="35"/>
        <v>0.25</v>
      </c>
      <c r="K1157" s="141">
        <f t="shared" si="36"/>
        <v>38287.80000000001</v>
      </c>
    </row>
    <row r="1158" spans="1:11">
      <c r="A1158" s="141">
        <v>1158</v>
      </c>
      <c r="B1158" s="142">
        <v>43251</v>
      </c>
      <c r="C1158" s="149">
        <v>22.9</v>
      </c>
      <c r="D1158" s="141">
        <v>11874.500000000009</v>
      </c>
      <c r="E1158" s="141"/>
      <c r="F1158" s="141"/>
      <c r="G1158" s="141"/>
      <c r="H1158" s="141"/>
      <c r="J1158" s="141">
        <f t="shared" si="35"/>
        <v>0.25</v>
      </c>
      <c r="K1158" s="141">
        <f t="shared" si="36"/>
        <v>38293.80000000001</v>
      </c>
    </row>
    <row r="1159" spans="1:11">
      <c r="A1159" s="141">
        <v>1159</v>
      </c>
      <c r="B1159" s="142">
        <v>43252</v>
      </c>
      <c r="C1159" s="149">
        <v>20.7</v>
      </c>
      <c r="D1159" s="141">
        <v>11895.20000000001</v>
      </c>
      <c r="E1159" s="141"/>
      <c r="F1159" s="141"/>
      <c r="G1159" s="141"/>
      <c r="H1159" s="141"/>
      <c r="J1159" s="141">
        <f t="shared" ref="J1159:J1222" si="37">J$1+(IF(J$3-$C1159&gt;0,J$3-$C1159,0)*J$2/30)</f>
        <v>0.25</v>
      </c>
      <c r="K1159" s="141">
        <f t="shared" ref="K1159:K1222" si="38">K1158+J1159*24</f>
        <v>38299.80000000001</v>
      </c>
    </row>
    <row r="1160" spans="1:11">
      <c r="A1160" s="141">
        <v>1160</v>
      </c>
      <c r="B1160" s="142">
        <v>43253</v>
      </c>
      <c r="C1160" s="149">
        <v>21.1</v>
      </c>
      <c r="D1160" s="141">
        <v>11916.30000000001</v>
      </c>
      <c r="E1160" s="141"/>
      <c r="F1160" s="141"/>
      <c r="G1160" s="141"/>
      <c r="H1160" s="141"/>
      <c r="J1160" s="141">
        <f t="shared" si="37"/>
        <v>0.25</v>
      </c>
      <c r="K1160" s="141">
        <f t="shared" si="38"/>
        <v>38305.80000000001</v>
      </c>
    </row>
    <row r="1161" spans="1:11">
      <c r="A1161" s="141">
        <v>1161</v>
      </c>
      <c r="B1161" s="142">
        <v>43254</v>
      </c>
      <c r="C1161" s="149">
        <v>21.2</v>
      </c>
      <c r="D1161" s="141">
        <v>11937.500000000011</v>
      </c>
      <c r="E1161" s="141"/>
      <c r="F1161" s="141"/>
      <c r="G1161" s="141"/>
      <c r="H1161" s="141"/>
      <c r="J1161" s="141">
        <f t="shared" si="37"/>
        <v>0.25</v>
      </c>
      <c r="K1161" s="141">
        <f t="shared" si="38"/>
        <v>38311.80000000001</v>
      </c>
    </row>
    <row r="1162" spans="1:11">
      <c r="A1162" s="141">
        <v>1162</v>
      </c>
      <c r="B1162" s="142">
        <v>43255</v>
      </c>
      <c r="C1162" s="149">
        <v>21.2</v>
      </c>
      <c r="D1162" s="141">
        <v>11958.700000000012</v>
      </c>
      <c r="E1162" s="141"/>
      <c r="F1162" s="141"/>
      <c r="G1162" s="141"/>
      <c r="H1162" s="141"/>
      <c r="J1162" s="141">
        <f t="shared" si="37"/>
        <v>0.25</v>
      </c>
      <c r="K1162" s="141">
        <f t="shared" si="38"/>
        <v>38317.80000000001</v>
      </c>
    </row>
    <row r="1163" spans="1:11">
      <c r="A1163" s="141">
        <v>1163</v>
      </c>
      <c r="B1163" s="142">
        <v>43256</v>
      </c>
      <c r="C1163" s="149">
        <v>20.7</v>
      </c>
      <c r="D1163" s="141">
        <v>11979.400000000012</v>
      </c>
      <c r="E1163" s="141"/>
      <c r="F1163" s="141"/>
      <c r="G1163" s="141"/>
      <c r="H1163" s="141"/>
      <c r="J1163" s="141">
        <f t="shared" si="37"/>
        <v>0.25</v>
      </c>
      <c r="K1163" s="141">
        <f t="shared" si="38"/>
        <v>38323.80000000001</v>
      </c>
    </row>
    <row r="1164" spans="1:11">
      <c r="A1164" s="141">
        <v>1164</v>
      </c>
      <c r="B1164" s="142">
        <v>43257</v>
      </c>
      <c r="C1164" s="149">
        <v>20</v>
      </c>
      <c r="D1164" s="141">
        <v>11999.400000000012</v>
      </c>
      <c r="E1164" s="141"/>
      <c r="F1164" s="141"/>
      <c r="G1164" s="141"/>
      <c r="H1164" s="141"/>
      <c r="J1164" s="141">
        <f t="shared" si="37"/>
        <v>0.25</v>
      </c>
      <c r="K1164" s="141">
        <f t="shared" si="38"/>
        <v>38329.80000000001</v>
      </c>
    </row>
    <row r="1165" spans="1:11">
      <c r="A1165" s="141">
        <v>1165</v>
      </c>
      <c r="B1165" s="142">
        <v>43258</v>
      </c>
      <c r="C1165" s="149">
        <v>20.8</v>
      </c>
      <c r="D1165" s="141">
        <v>12020.200000000012</v>
      </c>
      <c r="E1165" s="141"/>
      <c r="F1165" s="141"/>
      <c r="G1165" s="141"/>
      <c r="H1165" s="141"/>
      <c r="J1165" s="141">
        <f t="shared" si="37"/>
        <v>0.25</v>
      </c>
      <c r="K1165" s="141">
        <f t="shared" si="38"/>
        <v>38335.80000000001</v>
      </c>
    </row>
    <row r="1166" spans="1:11">
      <c r="A1166" s="141">
        <v>1166</v>
      </c>
      <c r="B1166" s="142">
        <v>43259</v>
      </c>
      <c r="C1166" s="149">
        <v>22.8</v>
      </c>
      <c r="D1166" s="141">
        <v>12043.000000000011</v>
      </c>
      <c r="E1166" s="141"/>
      <c r="F1166" s="141"/>
      <c r="G1166" s="141"/>
      <c r="H1166" s="141"/>
      <c r="J1166" s="141">
        <f t="shared" si="37"/>
        <v>0.25</v>
      </c>
      <c r="K1166" s="141">
        <f t="shared" si="38"/>
        <v>38341.80000000001</v>
      </c>
    </row>
    <row r="1167" spans="1:11">
      <c r="A1167" s="141">
        <v>1167</v>
      </c>
      <c r="B1167" s="142">
        <v>43260</v>
      </c>
      <c r="C1167" s="149">
        <v>22.1</v>
      </c>
      <c r="D1167" s="141">
        <v>12065.100000000011</v>
      </c>
      <c r="E1167" s="141"/>
      <c r="F1167" s="141"/>
      <c r="G1167" s="141"/>
      <c r="H1167" s="141"/>
      <c r="J1167" s="141">
        <f t="shared" si="37"/>
        <v>0.25</v>
      </c>
      <c r="K1167" s="141">
        <f t="shared" si="38"/>
        <v>38347.80000000001</v>
      </c>
    </row>
    <row r="1168" spans="1:11">
      <c r="A1168" s="141">
        <v>1168</v>
      </c>
      <c r="B1168" s="142">
        <v>43261</v>
      </c>
      <c r="C1168" s="149">
        <v>20.7</v>
      </c>
      <c r="D1168" s="141">
        <v>12085.800000000012</v>
      </c>
      <c r="E1168" s="141"/>
      <c r="F1168" s="141"/>
      <c r="G1168" s="141"/>
      <c r="H1168" s="141"/>
      <c r="J1168" s="141">
        <f t="shared" si="37"/>
        <v>0.25</v>
      </c>
      <c r="K1168" s="141">
        <f t="shared" si="38"/>
        <v>38353.80000000001</v>
      </c>
    </row>
    <row r="1169" spans="1:11">
      <c r="A1169" s="141">
        <v>1169</v>
      </c>
      <c r="B1169" s="142">
        <v>43262</v>
      </c>
      <c r="C1169" s="149">
        <v>21.3</v>
      </c>
      <c r="D1169" s="141">
        <v>12107.100000000011</v>
      </c>
      <c r="E1169" s="141"/>
      <c r="F1169" s="141"/>
      <c r="G1169" s="141"/>
      <c r="H1169" s="141"/>
      <c r="J1169" s="141">
        <f t="shared" si="37"/>
        <v>0.25</v>
      </c>
      <c r="K1169" s="141">
        <f t="shared" si="38"/>
        <v>38359.80000000001</v>
      </c>
    </row>
    <row r="1170" spans="1:11">
      <c r="A1170" s="141">
        <v>1170</v>
      </c>
      <c r="B1170" s="142">
        <v>43263</v>
      </c>
      <c r="C1170" s="149">
        <v>18.899999999999999</v>
      </c>
      <c r="D1170" s="141">
        <v>12126.000000000011</v>
      </c>
      <c r="E1170" s="141"/>
      <c r="F1170" s="141"/>
      <c r="G1170" s="141"/>
      <c r="H1170" s="141"/>
      <c r="J1170" s="141">
        <f t="shared" si="37"/>
        <v>0.25</v>
      </c>
      <c r="K1170" s="141">
        <f t="shared" si="38"/>
        <v>38365.80000000001</v>
      </c>
    </row>
    <row r="1171" spans="1:11">
      <c r="A1171" s="141">
        <v>1171</v>
      </c>
      <c r="B1171" s="142">
        <v>43264</v>
      </c>
      <c r="C1171" s="149">
        <v>14.9</v>
      </c>
      <c r="D1171" s="141">
        <v>12140.900000000011</v>
      </c>
      <c r="E1171" s="141"/>
      <c r="F1171" s="141"/>
      <c r="G1171" s="141"/>
      <c r="H1171" s="141"/>
      <c r="J1171" s="141">
        <f t="shared" si="37"/>
        <v>0.56499999999999995</v>
      </c>
      <c r="K1171" s="141">
        <f t="shared" si="38"/>
        <v>38379.360000000008</v>
      </c>
    </row>
    <row r="1172" spans="1:11">
      <c r="A1172" s="141">
        <v>1172</v>
      </c>
      <c r="B1172" s="142">
        <v>43265</v>
      </c>
      <c r="C1172" s="149">
        <v>15</v>
      </c>
      <c r="D1172" s="141">
        <v>12155.900000000011</v>
      </c>
      <c r="E1172" s="141"/>
      <c r="F1172" s="141"/>
      <c r="G1172" s="141"/>
      <c r="H1172" s="141"/>
      <c r="J1172" s="141">
        <f t="shared" si="37"/>
        <v>0.55000000000000004</v>
      </c>
      <c r="K1172" s="141">
        <f t="shared" si="38"/>
        <v>38392.560000000005</v>
      </c>
    </row>
    <row r="1173" spans="1:11">
      <c r="A1173" s="141">
        <v>1173</v>
      </c>
      <c r="B1173" s="142">
        <v>43266</v>
      </c>
      <c r="C1173" s="149">
        <v>17.5</v>
      </c>
      <c r="D1173" s="141">
        <v>12173.400000000011</v>
      </c>
      <c r="E1173" s="141"/>
      <c r="F1173" s="141"/>
      <c r="G1173" s="141"/>
      <c r="H1173" s="141"/>
      <c r="J1173" s="141">
        <f t="shared" si="37"/>
        <v>0.25</v>
      </c>
      <c r="K1173" s="141">
        <f t="shared" si="38"/>
        <v>38398.560000000005</v>
      </c>
    </row>
    <row r="1174" spans="1:11">
      <c r="A1174" s="141">
        <v>1174</v>
      </c>
      <c r="B1174" s="142">
        <v>43267</v>
      </c>
      <c r="C1174" s="149">
        <v>19.7</v>
      </c>
      <c r="D1174" s="141">
        <v>12193.100000000011</v>
      </c>
      <c r="E1174" s="141"/>
      <c r="F1174" s="141"/>
      <c r="G1174" s="141"/>
      <c r="H1174" s="141"/>
      <c r="J1174" s="141">
        <f t="shared" si="37"/>
        <v>0.25</v>
      </c>
      <c r="K1174" s="141">
        <f t="shared" si="38"/>
        <v>38404.560000000005</v>
      </c>
    </row>
    <row r="1175" spans="1:11">
      <c r="A1175" s="141">
        <v>1175</v>
      </c>
      <c r="B1175" s="142">
        <v>43268</v>
      </c>
      <c r="C1175" s="149">
        <v>21.2</v>
      </c>
      <c r="D1175" s="141">
        <v>12214.300000000012</v>
      </c>
      <c r="E1175" s="141"/>
      <c r="F1175" s="141"/>
      <c r="G1175" s="141"/>
      <c r="H1175" s="141"/>
      <c r="J1175" s="141">
        <f t="shared" si="37"/>
        <v>0.25</v>
      </c>
      <c r="K1175" s="141">
        <f t="shared" si="38"/>
        <v>38410.560000000005</v>
      </c>
    </row>
    <row r="1176" spans="1:11">
      <c r="A1176" s="141">
        <v>1176</v>
      </c>
      <c r="B1176" s="142">
        <v>43269</v>
      </c>
      <c r="C1176" s="149">
        <v>20</v>
      </c>
      <c r="D1176" s="141">
        <v>12234.300000000012</v>
      </c>
      <c r="E1176" s="141"/>
      <c r="F1176" s="141"/>
      <c r="G1176" s="141"/>
      <c r="H1176" s="141"/>
      <c r="J1176" s="141">
        <f t="shared" si="37"/>
        <v>0.25</v>
      </c>
      <c r="K1176" s="141">
        <f t="shared" si="38"/>
        <v>38416.560000000005</v>
      </c>
    </row>
    <row r="1177" spans="1:11">
      <c r="A1177" s="141">
        <v>1177</v>
      </c>
      <c r="B1177" s="142">
        <v>43270</v>
      </c>
      <c r="C1177" s="149">
        <v>20</v>
      </c>
      <c r="D1177" s="141">
        <v>12254.300000000012</v>
      </c>
      <c r="E1177" s="141"/>
      <c r="F1177" s="141"/>
      <c r="G1177" s="141"/>
      <c r="H1177" s="141"/>
      <c r="J1177" s="141">
        <f t="shared" si="37"/>
        <v>0.25</v>
      </c>
      <c r="K1177" s="141">
        <f t="shared" si="38"/>
        <v>38422.560000000005</v>
      </c>
    </row>
    <row r="1178" spans="1:11">
      <c r="A1178" s="141">
        <v>1178</v>
      </c>
      <c r="B1178" s="142">
        <v>43271</v>
      </c>
      <c r="C1178" s="149">
        <v>22.9</v>
      </c>
      <c r="D1178" s="141">
        <v>12277.200000000012</v>
      </c>
      <c r="E1178" s="141"/>
      <c r="F1178" s="141"/>
      <c r="G1178" s="141"/>
      <c r="H1178" s="141"/>
      <c r="J1178" s="141">
        <f t="shared" si="37"/>
        <v>0.25</v>
      </c>
      <c r="K1178" s="141">
        <f t="shared" si="38"/>
        <v>38428.560000000005</v>
      </c>
    </row>
    <row r="1179" spans="1:11">
      <c r="A1179" s="141">
        <v>1179</v>
      </c>
      <c r="B1179" s="142">
        <v>43272</v>
      </c>
      <c r="C1179" s="149">
        <v>21.6</v>
      </c>
      <c r="D1179" s="141">
        <v>12298.800000000012</v>
      </c>
      <c r="E1179" s="141"/>
      <c r="F1179" s="141"/>
      <c r="G1179" s="141"/>
      <c r="H1179" s="141"/>
      <c r="J1179" s="141">
        <f t="shared" si="37"/>
        <v>0.25</v>
      </c>
      <c r="K1179" s="141">
        <f t="shared" si="38"/>
        <v>38434.560000000005</v>
      </c>
    </row>
    <row r="1180" spans="1:11">
      <c r="A1180" s="141">
        <v>1180</v>
      </c>
      <c r="B1180" s="142">
        <v>43273</v>
      </c>
      <c r="C1180" s="149">
        <v>12.3</v>
      </c>
      <c r="D1180" s="141">
        <v>12311.100000000011</v>
      </c>
      <c r="E1180" s="141"/>
      <c r="F1180" s="141"/>
      <c r="G1180" s="141"/>
      <c r="H1180" s="141"/>
      <c r="J1180" s="141">
        <f t="shared" si="37"/>
        <v>0.95499999999999996</v>
      </c>
      <c r="K1180" s="141">
        <f t="shared" si="38"/>
        <v>38457.480000000003</v>
      </c>
    </row>
    <row r="1181" spans="1:11">
      <c r="A1181" s="141">
        <v>1181</v>
      </c>
      <c r="B1181" s="142">
        <v>43274</v>
      </c>
      <c r="C1181" s="149">
        <v>12.7</v>
      </c>
      <c r="D1181" s="141">
        <v>12323.800000000012</v>
      </c>
      <c r="E1181" s="141"/>
      <c r="F1181" s="141"/>
      <c r="G1181" s="141"/>
      <c r="H1181" s="141"/>
      <c r="J1181" s="141">
        <f t="shared" si="37"/>
        <v>0.89500000000000002</v>
      </c>
      <c r="K1181" s="141">
        <f t="shared" si="38"/>
        <v>38478.960000000006</v>
      </c>
    </row>
    <row r="1182" spans="1:11">
      <c r="A1182" s="141">
        <v>1182</v>
      </c>
      <c r="B1182" s="142">
        <v>43275</v>
      </c>
      <c r="C1182" s="149">
        <v>14.1</v>
      </c>
      <c r="D1182" s="141">
        <v>12337.900000000012</v>
      </c>
      <c r="E1182" s="141"/>
      <c r="F1182" s="141"/>
      <c r="G1182" s="141"/>
      <c r="H1182" s="141"/>
      <c r="J1182" s="141">
        <f t="shared" si="37"/>
        <v>0.68500000000000005</v>
      </c>
      <c r="K1182" s="141">
        <f t="shared" si="38"/>
        <v>38495.400000000009</v>
      </c>
    </row>
    <row r="1183" spans="1:11">
      <c r="A1183" s="141">
        <v>1183</v>
      </c>
      <c r="B1183" s="142">
        <v>43276</v>
      </c>
      <c r="C1183" s="149">
        <v>15.4</v>
      </c>
      <c r="D1183" s="141">
        <v>12353.300000000012</v>
      </c>
      <c r="E1183" s="141"/>
      <c r="F1183" s="141"/>
      <c r="G1183" s="141"/>
      <c r="H1183" s="141"/>
      <c r="J1183" s="141">
        <f t="shared" si="37"/>
        <v>0.48999999999999994</v>
      </c>
      <c r="K1183" s="141">
        <f t="shared" si="38"/>
        <v>38507.160000000011</v>
      </c>
    </row>
    <row r="1184" spans="1:11">
      <c r="A1184" s="141">
        <v>1184</v>
      </c>
      <c r="B1184" s="142">
        <v>43277</v>
      </c>
      <c r="C1184" s="149">
        <v>16.899999999999999</v>
      </c>
      <c r="D1184" s="141">
        <v>12370.200000000012</v>
      </c>
      <c r="E1184" s="141"/>
      <c r="F1184" s="141"/>
      <c r="G1184" s="141"/>
      <c r="H1184" s="141"/>
      <c r="J1184" s="141">
        <f t="shared" si="37"/>
        <v>0.26500000000000024</v>
      </c>
      <c r="K1184" s="141">
        <f t="shared" si="38"/>
        <v>38513.520000000011</v>
      </c>
    </row>
    <row r="1185" spans="1:11">
      <c r="A1185" s="141">
        <v>1185</v>
      </c>
      <c r="B1185" s="142">
        <v>43278</v>
      </c>
      <c r="C1185" s="149">
        <v>16.5</v>
      </c>
      <c r="D1185" s="141">
        <v>12386.700000000012</v>
      </c>
      <c r="E1185" s="141"/>
      <c r="F1185" s="141"/>
      <c r="G1185" s="141"/>
      <c r="H1185" s="141"/>
      <c r="J1185" s="141">
        <f t="shared" si="37"/>
        <v>0.32500000000000001</v>
      </c>
      <c r="K1185" s="141">
        <f t="shared" si="38"/>
        <v>38521.320000000014</v>
      </c>
    </row>
    <row r="1186" spans="1:11">
      <c r="A1186" s="141">
        <v>1186</v>
      </c>
      <c r="B1186" s="142">
        <v>43279</v>
      </c>
      <c r="C1186" s="149">
        <v>16.899999999999999</v>
      </c>
      <c r="D1186" s="141">
        <v>12403.600000000011</v>
      </c>
      <c r="E1186" s="141"/>
      <c r="F1186" s="141"/>
      <c r="G1186" s="141"/>
      <c r="H1186" s="141"/>
      <c r="J1186" s="141">
        <f t="shared" si="37"/>
        <v>0.26500000000000024</v>
      </c>
      <c r="K1186" s="141">
        <f t="shared" si="38"/>
        <v>38527.680000000015</v>
      </c>
    </row>
    <row r="1187" spans="1:11">
      <c r="A1187" s="141">
        <v>1187</v>
      </c>
      <c r="B1187" s="142">
        <v>43280</v>
      </c>
      <c r="C1187" s="149">
        <v>22.3</v>
      </c>
      <c r="D1187" s="141">
        <v>12425.900000000011</v>
      </c>
      <c r="E1187" s="141"/>
      <c r="F1187" s="141"/>
      <c r="G1187" s="141"/>
      <c r="H1187" s="141"/>
      <c r="J1187" s="141">
        <f t="shared" si="37"/>
        <v>0.25</v>
      </c>
      <c r="K1187" s="141">
        <f t="shared" si="38"/>
        <v>38533.680000000015</v>
      </c>
    </row>
    <row r="1188" spans="1:11">
      <c r="A1188" s="141">
        <v>1188</v>
      </c>
      <c r="B1188" s="142">
        <v>43281</v>
      </c>
      <c r="C1188" s="149">
        <v>17.3</v>
      </c>
      <c r="D1188" s="141">
        <v>12443.20000000001</v>
      </c>
      <c r="E1188" s="141"/>
      <c r="F1188" s="141"/>
      <c r="G1188" s="141"/>
      <c r="H1188" s="141"/>
      <c r="J1188" s="141">
        <f t="shared" si="37"/>
        <v>0.25</v>
      </c>
      <c r="K1188" s="141">
        <f t="shared" si="38"/>
        <v>38539.680000000015</v>
      </c>
    </row>
    <row r="1189" spans="1:11">
      <c r="A1189" s="141">
        <v>1189</v>
      </c>
      <c r="B1189" s="142">
        <v>43282</v>
      </c>
      <c r="C1189" s="149">
        <v>14.8</v>
      </c>
      <c r="D1189" s="141">
        <v>12458.000000000009</v>
      </c>
      <c r="E1189" s="141"/>
      <c r="F1189" s="141"/>
      <c r="G1189" s="141"/>
      <c r="H1189" s="141"/>
      <c r="J1189" s="141">
        <f t="shared" si="37"/>
        <v>0.57999999999999985</v>
      </c>
      <c r="K1189" s="141">
        <f t="shared" si="38"/>
        <v>38553.600000000013</v>
      </c>
    </row>
    <row r="1190" spans="1:11">
      <c r="A1190" s="141">
        <v>1190</v>
      </c>
      <c r="B1190" s="142">
        <v>43283</v>
      </c>
      <c r="C1190" s="149">
        <v>16</v>
      </c>
      <c r="D1190" s="141">
        <v>12474.000000000009</v>
      </c>
      <c r="E1190" s="141"/>
      <c r="F1190" s="141"/>
      <c r="G1190" s="141"/>
      <c r="H1190" s="141"/>
      <c r="J1190" s="141">
        <f t="shared" si="37"/>
        <v>0.4</v>
      </c>
      <c r="K1190" s="141">
        <f t="shared" si="38"/>
        <v>38563.200000000012</v>
      </c>
    </row>
    <row r="1191" spans="1:11">
      <c r="A1191" s="141">
        <v>1191</v>
      </c>
      <c r="B1191" s="142">
        <v>43284</v>
      </c>
      <c r="C1191" s="149">
        <v>18.8</v>
      </c>
      <c r="D1191" s="141">
        <v>12492.800000000008</v>
      </c>
      <c r="E1191" s="141"/>
      <c r="F1191" s="141"/>
      <c r="G1191" s="141"/>
      <c r="H1191" s="141"/>
      <c r="J1191" s="141">
        <f t="shared" si="37"/>
        <v>0.25</v>
      </c>
      <c r="K1191" s="141">
        <f t="shared" si="38"/>
        <v>38569.200000000012</v>
      </c>
    </row>
    <row r="1192" spans="1:11">
      <c r="A1192" s="141">
        <v>1192</v>
      </c>
      <c r="B1192" s="142">
        <v>43285</v>
      </c>
      <c r="C1192" s="149">
        <v>21.8</v>
      </c>
      <c r="D1192" s="141">
        <v>12514.600000000008</v>
      </c>
      <c r="E1192" s="141"/>
      <c r="F1192" s="141"/>
      <c r="G1192" s="141"/>
      <c r="H1192" s="141"/>
      <c r="J1192" s="141">
        <f t="shared" si="37"/>
        <v>0.25</v>
      </c>
      <c r="K1192" s="141">
        <f t="shared" si="38"/>
        <v>38575.200000000012</v>
      </c>
    </row>
    <row r="1193" spans="1:11">
      <c r="A1193" s="141">
        <v>1193</v>
      </c>
      <c r="B1193" s="142">
        <v>43286</v>
      </c>
      <c r="C1193" s="149">
        <v>23</v>
      </c>
      <c r="D1193" s="141">
        <v>12537.600000000008</v>
      </c>
      <c r="E1193" s="141"/>
      <c r="F1193" s="141"/>
      <c r="G1193" s="141"/>
      <c r="H1193" s="141"/>
      <c r="J1193" s="141">
        <f t="shared" si="37"/>
        <v>0.25</v>
      </c>
      <c r="K1193" s="141">
        <f t="shared" si="38"/>
        <v>38581.200000000012</v>
      </c>
    </row>
    <row r="1194" spans="1:11">
      <c r="A1194" s="141">
        <v>1194</v>
      </c>
      <c r="B1194" s="142">
        <v>43287</v>
      </c>
      <c r="C1194" s="149">
        <v>19.399999999999999</v>
      </c>
      <c r="D1194" s="141">
        <v>12557.000000000007</v>
      </c>
      <c r="E1194" s="141"/>
      <c r="F1194" s="141"/>
      <c r="G1194" s="141"/>
      <c r="H1194" s="141"/>
      <c r="J1194" s="141">
        <f t="shared" si="37"/>
        <v>0.25</v>
      </c>
      <c r="K1194" s="141">
        <f t="shared" si="38"/>
        <v>38587.200000000012</v>
      </c>
    </row>
    <row r="1195" spans="1:11">
      <c r="A1195" s="141">
        <v>1195</v>
      </c>
      <c r="B1195" s="142">
        <v>43288</v>
      </c>
      <c r="C1195" s="149">
        <v>19.600000000000001</v>
      </c>
      <c r="D1195" s="141">
        <v>12576.600000000008</v>
      </c>
      <c r="E1195" s="141"/>
      <c r="F1195" s="141"/>
      <c r="G1195" s="141"/>
      <c r="H1195" s="141"/>
      <c r="J1195" s="141">
        <f t="shared" si="37"/>
        <v>0.25</v>
      </c>
      <c r="K1195" s="141">
        <f t="shared" si="38"/>
        <v>38593.200000000012</v>
      </c>
    </row>
    <row r="1196" spans="1:11">
      <c r="A1196" s="141">
        <v>1196</v>
      </c>
      <c r="B1196" s="142">
        <v>43289</v>
      </c>
      <c r="C1196" s="149">
        <v>20.3</v>
      </c>
      <c r="D1196" s="141">
        <v>12596.900000000007</v>
      </c>
      <c r="E1196" s="141"/>
      <c r="F1196" s="141"/>
      <c r="G1196" s="141"/>
      <c r="H1196" s="141"/>
      <c r="J1196" s="141">
        <f t="shared" si="37"/>
        <v>0.25</v>
      </c>
      <c r="K1196" s="141">
        <f t="shared" si="38"/>
        <v>38599.200000000012</v>
      </c>
    </row>
    <row r="1197" spans="1:11">
      <c r="A1197" s="141">
        <v>1197</v>
      </c>
      <c r="B1197" s="142">
        <v>43290</v>
      </c>
      <c r="C1197" s="149">
        <v>21.2</v>
      </c>
      <c r="D1197" s="141">
        <v>12618.100000000008</v>
      </c>
      <c r="E1197" s="141"/>
      <c r="F1197" s="141"/>
      <c r="G1197" s="141"/>
      <c r="H1197" s="141"/>
      <c r="J1197" s="141">
        <f t="shared" si="37"/>
        <v>0.25</v>
      </c>
      <c r="K1197" s="141">
        <f t="shared" si="38"/>
        <v>38605.200000000012</v>
      </c>
    </row>
    <row r="1198" spans="1:11">
      <c r="A1198" s="141">
        <v>1198</v>
      </c>
      <c r="B1198" s="142">
        <v>43291</v>
      </c>
      <c r="C1198" s="149">
        <v>17.8</v>
      </c>
      <c r="D1198" s="141">
        <v>12635.900000000007</v>
      </c>
      <c r="E1198" s="141"/>
      <c r="F1198" s="141"/>
      <c r="G1198" s="141"/>
      <c r="H1198" s="141"/>
      <c r="J1198" s="141">
        <f t="shared" si="37"/>
        <v>0.25</v>
      </c>
      <c r="K1198" s="141">
        <f t="shared" si="38"/>
        <v>38611.200000000012</v>
      </c>
    </row>
    <row r="1199" spans="1:11">
      <c r="A1199" s="141">
        <v>1199</v>
      </c>
      <c r="B1199" s="142">
        <v>43292</v>
      </c>
      <c r="C1199" s="149">
        <v>16.100000000000001</v>
      </c>
      <c r="D1199" s="141">
        <v>12652.000000000007</v>
      </c>
      <c r="E1199" s="141"/>
      <c r="F1199" s="141"/>
      <c r="G1199" s="141"/>
      <c r="H1199" s="141"/>
      <c r="J1199" s="141">
        <f t="shared" si="37"/>
        <v>0.38499999999999979</v>
      </c>
      <c r="K1199" s="141">
        <f t="shared" si="38"/>
        <v>38620.44000000001</v>
      </c>
    </row>
    <row r="1200" spans="1:11">
      <c r="A1200" s="141">
        <v>1200</v>
      </c>
      <c r="B1200" s="142">
        <v>43293</v>
      </c>
      <c r="C1200" s="149">
        <v>15.9</v>
      </c>
      <c r="D1200" s="141">
        <v>12667.900000000007</v>
      </c>
      <c r="E1200" s="141"/>
      <c r="F1200" s="141"/>
      <c r="G1200" s="141"/>
      <c r="H1200" s="141"/>
      <c r="J1200" s="141">
        <f t="shared" si="37"/>
        <v>0.41499999999999992</v>
      </c>
      <c r="K1200" s="141">
        <f t="shared" si="38"/>
        <v>38630.400000000009</v>
      </c>
    </row>
    <row r="1201" spans="1:11">
      <c r="A1201" s="141">
        <v>1201</v>
      </c>
      <c r="B1201" s="142">
        <v>43294</v>
      </c>
      <c r="C1201" s="149">
        <v>21.4</v>
      </c>
      <c r="D1201" s="141">
        <v>12689.300000000007</v>
      </c>
      <c r="E1201" s="141"/>
      <c r="F1201" s="141"/>
      <c r="G1201" s="141"/>
      <c r="H1201" s="141"/>
      <c r="J1201" s="141">
        <f t="shared" si="37"/>
        <v>0.25</v>
      </c>
      <c r="K1201" s="141">
        <f t="shared" si="38"/>
        <v>38636.400000000009</v>
      </c>
    </row>
    <row r="1202" spans="1:11">
      <c r="A1202" s="141">
        <v>1202</v>
      </c>
      <c r="B1202" s="142">
        <v>43295</v>
      </c>
      <c r="C1202" s="149">
        <v>21.5</v>
      </c>
      <c r="D1202" s="141">
        <v>12710.800000000007</v>
      </c>
      <c r="E1202" s="141"/>
      <c r="F1202" s="141"/>
      <c r="G1202" s="141"/>
      <c r="H1202" s="141"/>
      <c r="J1202" s="141">
        <f t="shared" si="37"/>
        <v>0.25</v>
      </c>
      <c r="K1202" s="141">
        <f t="shared" si="38"/>
        <v>38642.400000000009</v>
      </c>
    </row>
    <row r="1203" spans="1:11">
      <c r="A1203" s="141">
        <v>1203</v>
      </c>
      <c r="B1203" s="142">
        <v>43296</v>
      </c>
      <c r="C1203" s="149">
        <v>21.4</v>
      </c>
      <c r="D1203" s="141">
        <v>12732.200000000006</v>
      </c>
      <c r="E1203" s="141"/>
      <c r="F1203" s="141"/>
      <c r="G1203" s="141"/>
      <c r="H1203" s="141"/>
      <c r="J1203" s="141">
        <f t="shared" si="37"/>
        <v>0.25</v>
      </c>
      <c r="K1203" s="141">
        <f t="shared" si="38"/>
        <v>38648.400000000009</v>
      </c>
    </row>
    <row r="1204" spans="1:11">
      <c r="A1204" s="141">
        <v>1204</v>
      </c>
      <c r="B1204" s="142">
        <v>43297</v>
      </c>
      <c r="C1204" s="149">
        <v>21</v>
      </c>
      <c r="D1204" s="141">
        <v>12753.200000000006</v>
      </c>
      <c r="E1204" s="141"/>
      <c r="F1204" s="141"/>
      <c r="G1204" s="141"/>
      <c r="H1204" s="141"/>
      <c r="J1204" s="141">
        <f t="shared" si="37"/>
        <v>0.25</v>
      </c>
      <c r="K1204" s="141">
        <f t="shared" si="38"/>
        <v>38654.400000000009</v>
      </c>
    </row>
    <row r="1205" spans="1:11">
      <c r="A1205" s="141">
        <v>1205</v>
      </c>
      <c r="B1205" s="142">
        <v>43298</v>
      </c>
      <c r="C1205" s="149">
        <v>21.6</v>
      </c>
      <c r="D1205" s="141">
        <v>12774.800000000007</v>
      </c>
      <c r="E1205" s="141"/>
      <c r="F1205" s="141"/>
      <c r="G1205" s="141"/>
      <c r="H1205" s="141"/>
      <c r="J1205" s="141">
        <f t="shared" si="37"/>
        <v>0.25</v>
      </c>
      <c r="K1205" s="141">
        <f t="shared" si="38"/>
        <v>38660.400000000009</v>
      </c>
    </row>
    <row r="1206" spans="1:11">
      <c r="A1206" s="141">
        <v>1206</v>
      </c>
      <c r="B1206" s="142">
        <v>43299</v>
      </c>
      <c r="C1206" s="149">
        <v>23</v>
      </c>
      <c r="D1206" s="141">
        <v>12797.800000000007</v>
      </c>
      <c r="E1206" s="141"/>
      <c r="F1206" s="141"/>
      <c r="G1206" s="141"/>
      <c r="H1206" s="141"/>
      <c r="J1206" s="141">
        <f t="shared" si="37"/>
        <v>0.25</v>
      </c>
      <c r="K1206" s="141">
        <f t="shared" si="38"/>
        <v>38666.400000000009</v>
      </c>
    </row>
    <row r="1207" spans="1:11">
      <c r="A1207" s="141">
        <v>1207</v>
      </c>
      <c r="B1207" s="142">
        <v>43300</v>
      </c>
      <c r="C1207" s="149">
        <v>21.7</v>
      </c>
      <c r="D1207" s="141">
        <v>12819.500000000007</v>
      </c>
      <c r="E1207" s="141"/>
      <c r="F1207" s="141"/>
      <c r="G1207" s="141"/>
      <c r="H1207" s="141"/>
      <c r="J1207" s="141">
        <f t="shared" si="37"/>
        <v>0.25</v>
      </c>
      <c r="K1207" s="141">
        <f t="shared" si="38"/>
        <v>38672.400000000009</v>
      </c>
    </row>
    <row r="1208" spans="1:11">
      <c r="A1208" s="141">
        <v>1208</v>
      </c>
      <c r="B1208" s="142">
        <v>43301</v>
      </c>
      <c r="C1208" s="149">
        <v>21.8</v>
      </c>
      <c r="D1208" s="141">
        <v>12841.300000000007</v>
      </c>
      <c r="E1208" s="141"/>
      <c r="F1208" s="141"/>
      <c r="G1208" s="141"/>
      <c r="H1208" s="141"/>
      <c r="J1208" s="141">
        <f t="shared" si="37"/>
        <v>0.25</v>
      </c>
      <c r="K1208" s="141">
        <f t="shared" si="38"/>
        <v>38678.400000000009</v>
      </c>
    </row>
    <row r="1209" spans="1:11">
      <c r="A1209" s="141">
        <v>1209</v>
      </c>
      <c r="B1209" s="142">
        <v>43302</v>
      </c>
      <c r="C1209" s="149">
        <v>22.9</v>
      </c>
      <c r="D1209" s="141">
        <v>12864.200000000006</v>
      </c>
      <c r="E1209" s="141"/>
      <c r="F1209" s="141"/>
      <c r="G1209" s="141"/>
      <c r="H1209" s="141"/>
      <c r="J1209" s="141">
        <f t="shared" si="37"/>
        <v>0.25</v>
      </c>
      <c r="K1209" s="141">
        <f t="shared" si="38"/>
        <v>38684.400000000009</v>
      </c>
    </row>
    <row r="1210" spans="1:11">
      <c r="A1210" s="141">
        <v>1210</v>
      </c>
      <c r="B1210" s="142">
        <v>43303</v>
      </c>
      <c r="C1210" s="149">
        <v>22.4</v>
      </c>
      <c r="D1210" s="141">
        <v>12886.600000000006</v>
      </c>
      <c r="E1210" s="141"/>
      <c r="F1210" s="141"/>
      <c r="G1210" s="141"/>
      <c r="H1210" s="141"/>
      <c r="J1210" s="141">
        <f t="shared" si="37"/>
        <v>0.25</v>
      </c>
      <c r="K1210" s="141">
        <f t="shared" si="38"/>
        <v>38690.400000000009</v>
      </c>
    </row>
    <row r="1211" spans="1:11">
      <c r="A1211" s="141">
        <v>1211</v>
      </c>
      <c r="B1211" s="142">
        <v>43304</v>
      </c>
      <c r="C1211" s="149">
        <v>23.5</v>
      </c>
      <c r="D1211" s="141">
        <v>12910.100000000006</v>
      </c>
      <c r="E1211" s="141"/>
      <c r="F1211" s="141"/>
      <c r="G1211" s="141"/>
      <c r="H1211" s="141"/>
      <c r="J1211" s="141">
        <f t="shared" si="37"/>
        <v>0.25</v>
      </c>
      <c r="K1211" s="141">
        <f t="shared" si="38"/>
        <v>38696.400000000009</v>
      </c>
    </row>
    <row r="1212" spans="1:11">
      <c r="A1212" s="141">
        <v>1212</v>
      </c>
      <c r="B1212" s="142">
        <v>43305</v>
      </c>
      <c r="C1212" s="149">
        <v>24.1</v>
      </c>
      <c r="D1212" s="141">
        <v>12934.200000000006</v>
      </c>
      <c r="E1212" s="141"/>
      <c r="F1212" s="141"/>
      <c r="G1212" s="141"/>
      <c r="H1212" s="141"/>
      <c r="J1212" s="141">
        <f t="shared" si="37"/>
        <v>0.25</v>
      </c>
      <c r="K1212" s="141">
        <f t="shared" si="38"/>
        <v>38702.400000000009</v>
      </c>
    </row>
    <row r="1213" spans="1:11">
      <c r="A1213" s="141">
        <v>1213</v>
      </c>
      <c r="B1213" s="142">
        <v>43306</v>
      </c>
      <c r="C1213" s="149">
        <v>24.6</v>
      </c>
      <c r="D1213" s="141">
        <v>12958.800000000007</v>
      </c>
      <c r="E1213" s="141"/>
      <c r="F1213" s="141"/>
      <c r="G1213" s="141"/>
      <c r="H1213" s="141"/>
      <c r="J1213" s="141">
        <f t="shared" si="37"/>
        <v>0.25</v>
      </c>
      <c r="K1213" s="141">
        <f t="shared" si="38"/>
        <v>38708.400000000009</v>
      </c>
    </row>
    <row r="1214" spans="1:11">
      <c r="A1214" s="141">
        <v>1214</v>
      </c>
      <c r="B1214" s="142">
        <v>43307</v>
      </c>
      <c r="C1214" s="149">
        <v>24.4</v>
      </c>
      <c r="D1214" s="141">
        <v>12983.200000000006</v>
      </c>
      <c r="E1214" s="141"/>
      <c r="F1214" s="141"/>
      <c r="G1214" s="141"/>
      <c r="H1214" s="141"/>
      <c r="J1214" s="141">
        <f t="shared" si="37"/>
        <v>0.25</v>
      </c>
      <c r="K1214" s="141">
        <f t="shared" si="38"/>
        <v>38714.400000000009</v>
      </c>
    </row>
    <row r="1215" spans="1:11">
      <c r="A1215" s="141">
        <v>1215</v>
      </c>
      <c r="B1215" s="142">
        <v>43308</v>
      </c>
      <c r="C1215" s="149">
        <v>24.4</v>
      </c>
      <c r="D1215" s="141">
        <v>13007.600000000006</v>
      </c>
      <c r="E1215" s="141"/>
      <c r="F1215" s="141"/>
      <c r="G1215" s="141"/>
      <c r="H1215" s="141"/>
      <c r="J1215" s="141">
        <f t="shared" si="37"/>
        <v>0.25</v>
      </c>
      <c r="K1215" s="141">
        <f t="shared" si="38"/>
        <v>38720.400000000009</v>
      </c>
    </row>
    <row r="1216" spans="1:11">
      <c r="A1216" s="141">
        <v>1216</v>
      </c>
      <c r="B1216" s="142">
        <v>43309</v>
      </c>
      <c r="C1216" s="149">
        <v>24.7</v>
      </c>
      <c r="D1216" s="141">
        <v>13032.300000000007</v>
      </c>
      <c r="E1216" s="141"/>
      <c r="F1216" s="141"/>
      <c r="G1216" s="141"/>
      <c r="H1216" s="141"/>
      <c r="J1216" s="141">
        <f t="shared" si="37"/>
        <v>0.25</v>
      </c>
      <c r="K1216" s="141">
        <f t="shared" si="38"/>
        <v>38726.400000000009</v>
      </c>
    </row>
    <row r="1217" spans="1:11">
      <c r="A1217" s="141">
        <v>1217</v>
      </c>
      <c r="B1217" s="142">
        <v>43310</v>
      </c>
      <c r="C1217" s="149">
        <v>25.5</v>
      </c>
      <c r="D1217" s="141">
        <v>13057.800000000007</v>
      </c>
      <c r="E1217" s="141"/>
      <c r="F1217" s="141"/>
      <c r="G1217" s="141"/>
      <c r="H1217" s="141"/>
      <c r="J1217" s="141">
        <f t="shared" si="37"/>
        <v>0.25</v>
      </c>
      <c r="K1217" s="141">
        <f t="shared" si="38"/>
        <v>38732.400000000009</v>
      </c>
    </row>
    <row r="1218" spans="1:11">
      <c r="A1218" s="141">
        <v>1218</v>
      </c>
      <c r="B1218" s="142">
        <v>43311</v>
      </c>
      <c r="C1218" s="149">
        <v>26.8</v>
      </c>
      <c r="D1218" s="141">
        <v>13084.600000000006</v>
      </c>
      <c r="E1218" s="141"/>
      <c r="F1218" s="141"/>
      <c r="G1218" s="141"/>
      <c r="H1218" s="141"/>
      <c r="J1218" s="141">
        <f t="shared" si="37"/>
        <v>0.25</v>
      </c>
      <c r="K1218" s="141">
        <f t="shared" si="38"/>
        <v>38738.400000000009</v>
      </c>
    </row>
    <row r="1219" spans="1:11">
      <c r="A1219" s="141">
        <v>1219</v>
      </c>
      <c r="B1219" s="142">
        <v>43312</v>
      </c>
      <c r="C1219" s="149">
        <v>26.9</v>
      </c>
      <c r="D1219" s="141">
        <v>13111.500000000005</v>
      </c>
      <c r="E1219" s="141"/>
      <c r="F1219" s="141"/>
      <c r="G1219" s="141"/>
      <c r="H1219" s="141"/>
      <c r="J1219" s="141">
        <f t="shared" si="37"/>
        <v>0.25</v>
      </c>
      <c r="K1219" s="141">
        <f t="shared" si="38"/>
        <v>38744.400000000009</v>
      </c>
    </row>
    <row r="1220" spans="1:11">
      <c r="A1220" s="141">
        <v>1220</v>
      </c>
      <c r="B1220" s="142">
        <v>43313</v>
      </c>
      <c r="C1220" s="149">
        <v>27.3</v>
      </c>
      <c r="D1220" s="141">
        <v>13138.800000000005</v>
      </c>
      <c r="E1220" s="141"/>
      <c r="F1220" s="141"/>
      <c r="G1220" s="141"/>
      <c r="H1220" s="141"/>
      <c r="J1220" s="141">
        <f t="shared" si="37"/>
        <v>0.25</v>
      </c>
      <c r="K1220" s="141">
        <f t="shared" si="38"/>
        <v>38750.400000000009</v>
      </c>
    </row>
    <row r="1221" spans="1:11">
      <c r="A1221" s="141">
        <v>1221</v>
      </c>
      <c r="B1221" s="142">
        <v>43314</v>
      </c>
      <c r="C1221" s="149">
        <v>26.7</v>
      </c>
      <c r="D1221" s="141">
        <v>13165.500000000005</v>
      </c>
      <c r="E1221" s="141"/>
      <c r="F1221" s="141"/>
      <c r="G1221" s="141"/>
      <c r="H1221" s="141"/>
      <c r="J1221" s="141">
        <f t="shared" si="37"/>
        <v>0.25</v>
      </c>
      <c r="K1221" s="141">
        <f t="shared" si="38"/>
        <v>38756.400000000009</v>
      </c>
    </row>
    <row r="1222" spans="1:11">
      <c r="A1222" s="141">
        <v>1222</v>
      </c>
      <c r="B1222" s="142">
        <v>43315</v>
      </c>
      <c r="C1222" s="149">
        <v>26.7</v>
      </c>
      <c r="D1222" s="141">
        <v>13192.200000000006</v>
      </c>
      <c r="E1222" s="141"/>
      <c r="F1222" s="141"/>
      <c r="G1222" s="141"/>
      <c r="H1222" s="141"/>
      <c r="J1222" s="141">
        <f t="shared" si="37"/>
        <v>0.25</v>
      </c>
      <c r="K1222" s="141">
        <f t="shared" si="38"/>
        <v>38762.400000000009</v>
      </c>
    </row>
    <row r="1223" spans="1:11">
      <c r="A1223" s="141">
        <v>1223</v>
      </c>
      <c r="B1223" s="142">
        <v>43316</v>
      </c>
      <c r="C1223" s="149">
        <v>25.9</v>
      </c>
      <c r="D1223" s="141">
        <v>13218.100000000006</v>
      </c>
      <c r="E1223" s="141"/>
      <c r="F1223" s="141"/>
      <c r="G1223" s="141"/>
      <c r="H1223" s="141"/>
      <c r="J1223" s="141">
        <f t="shared" ref="J1223:J1286" si="39">J$1+(IF(J$3-$C1223&gt;0,J$3-$C1223,0)*J$2/30)</f>
        <v>0.25</v>
      </c>
      <c r="K1223" s="141">
        <f t="shared" ref="K1223:K1286" si="40">K1222+J1223*24</f>
        <v>38768.400000000009</v>
      </c>
    </row>
    <row r="1224" spans="1:11">
      <c r="A1224" s="141">
        <v>1224</v>
      </c>
      <c r="B1224" s="142">
        <v>43317</v>
      </c>
      <c r="C1224" s="149">
        <v>22.8</v>
      </c>
      <c r="D1224" s="141">
        <v>13240.900000000005</v>
      </c>
      <c r="E1224" s="141"/>
      <c r="F1224" s="141"/>
      <c r="G1224" s="141"/>
      <c r="H1224" s="141"/>
      <c r="J1224" s="141">
        <f t="shared" si="39"/>
        <v>0.25</v>
      </c>
      <c r="K1224" s="141">
        <f t="shared" si="40"/>
        <v>38774.400000000009</v>
      </c>
    </row>
    <row r="1225" spans="1:11">
      <c r="A1225" s="141">
        <v>1225</v>
      </c>
      <c r="B1225" s="142">
        <v>43318</v>
      </c>
      <c r="C1225" s="149">
        <v>22.4</v>
      </c>
      <c r="D1225" s="141">
        <v>13263.300000000005</v>
      </c>
      <c r="E1225" s="141"/>
      <c r="F1225" s="141"/>
      <c r="G1225" s="141"/>
      <c r="H1225" s="141"/>
      <c r="J1225" s="141">
        <f t="shared" si="39"/>
        <v>0.25</v>
      </c>
      <c r="K1225" s="141">
        <f t="shared" si="40"/>
        <v>38780.400000000009</v>
      </c>
    </row>
    <row r="1226" spans="1:11">
      <c r="A1226" s="141">
        <v>1226</v>
      </c>
      <c r="B1226" s="142">
        <v>43319</v>
      </c>
      <c r="C1226" s="149">
        <v>24.5</v>
      </c>
      <c r="D1226" s="141">
        <v>13287.800000000005</v>
      </c>
      <c r="E1226" s="141"/>
      <c r="F1226" s="141"/>
      <c r="G1226" s="141"/>
      <c r="H1226" s="141"/>
      <c r="J1226" s="141">
        <f t="shared" si="39"/>
        <v>0.25</v>
      </c>
      <c r="K1226" s="141">
        <f t="shared" si="40"/>
        <v>38786.400000000009</v>
      </c>
    </row>
    <row r="1227" spans="1:11">
      <c r="A1227" s="141">
        <v>1227</v>
      </c>
      <c r="B1227" s="142">
        <v>43320</v>
      </c>
      <c r="C1227" s="149">
        <v>25.4</v>
      </c>
      <c r="D1227" s="141">
        <v>13313.200000000004</v>
      </c>
      <c r="E1227" s="141"/>
      <c r="F1227" s="141"/>
      <c r="G1227" s="141"/>
      <c r="H1227" s="141"/>
      <c r="J1227" s="141">
        <f t="shared" si="39"/>
        <v>0.25</v>
      </c>
      <c r="K1227" s="141">
        <f t="shared" si="40"/>
        <v>38792.400000000009</v>
      </c>
    </row>
    <row r="1228" spans="1:11">
      <c r="A1228" s="141">
        <v>1228</v>
      </c>
      <c r="B1228" s="142">
        <v>43321</v>
      </c>
      <c r="C1228" s="149">
        <v>25.4</v>
      </c>
      <c r="D1228" s="141">
        <v>13338.600000000004</v>
      </c>
      <c r="E1228" s="141"/>
      <c r="F1228" s="141"/>
      <c r="G1228" s="141"/>
      <c r="H1228" s="141"/>
      <c r="J1228" s="141">
        <f t="shared" si="39"/>
        <v>0.25</v>
      </c>
      <c r="K1228" s="141">
        <f t="shared" si="40"/>
        <v>38798.400000000009</v>
      </c>
    </row>
    <row r="1229" spans="1:11">
      <c r="A1229" s="141">
        <v>1229</v>
      </c>
      <c r="B1229" s="142">
        <v>43322</v>
      </c>
      <c r="C1229" s="149">
        <v>20.9</v>
      </c>
      <c r="D1229" s="141">
        <v>13359.500000000004</v>
      </c>
      <c r="E1229" s="141"/>
      <c r="F1229" s="141"/>
      <c r="G1229" s="141"/>
      <c r="H1229" s="141"/>
      <c r="J1229" s="141">
        <f t="shared" si="39"/>
        <v>0.25</v>
      </c>
      <c r="K1229" s="141">
        <f t="shared" si="40"/>
        <v>38804.400000000009</v>
      </c>
    </row>
    <row r="1230" spans="1:11">
      <c r="A1230" s="141">
        <v>1230</v>
      </c>
      <c r="B1230" s="142">
        <v>43323</v>
      </c>
      <c r="C1230" s="149">
        <v>19.899999999999999</v>
      </c>
      <c r="D1230" s="141">
        <v>13379.400000000003</v>
      </c>
      <c r="E1230" s="141"/>
      <c r="F1230" s="141"/>
      <c r="G1230" s="141"/>
      <c r="H1230" s="141"/>
      <c r="J1230" s="141">
        <f t="shared" si="39"/>
        <v>0.25</v>
      </c>
      <c r="K1230" s="141">
        <f t="shared" si="40"/>
        <v>38810.400000000009</v>
      </c>
    </row>
    <row r="1231" spans="1:11">
      <c r="A1231" s="141">
        <v>1231</v>
      </c>
      <c r="B1231" s="142">
        <v>43324</v>
      </c>
      <c r="C1231" s="149">
        <v>20.399999999999999</v>
      </c>
      <c r="D1231" s="141">
        <v>13399.800000000003</v>
      </c>
      <c r="E1231" s="141"/>
      <c r="F1231" s="141"/>
      <c r="G1231" s="141"/>
      <c r="H1231" s="141"/>
      <c r="J1231" s="141">
        <f t="shared" si="39"/>
        <v>0.25</v>
      </c>
      <c r="K1231" s="141">
        <f t="shared" si="40"/>
        <v>38816.400000000009</v>
      </c>
    </row>
    <row r="1232" spans="1:11">
      <c r="A1232" s="141">
        <v>1232</v>
      </c>
      <c r="B1232" s="142">
        <v>43325</v>
      </c>
      <c r="C1232" s="149">
        <v>22.7</v>
      </c>
      <c r="D1232" s="141">
        <v>13422.500000000004</v>
      </c>
      <c r="E1232" s="141"/>
      <c r="F1232" s="141"/>
      <c r="G1232" s="141"/>
      <c r="H1232" s="141"/>
      <c r="J1232" s="141">
        <f t="shared" si="39"/>
        <v>0.25</v>
      </c>
      <c r="K1232" s="141">
        <f t="shared" si="40"/>
        <v>38822.400000000009</v>
      </c>
    </row>
    <row r="1233" spans="1:11">
      <c r="A1233" s="141">
        <v>1233</v>
      </c>
      <c r="B1233" s="142">
        <v>43326</v>
      </c>
      <c r="C1233" s="149">
        <v>21.5</v>
      </c>
      <c r="D1233" s="141">
        <v>13444.000000000004</v>
      </c>
      <c r="E1233" s="141"/>
      <c r="F1233" s="141"/>
      <c r="G1233" s="141"/>
      <c r="H1233" s="141"/>
      <c r="J1233" s="141">
        <f t="shared" si="39"/>
        <v>0.25</v>
      </c>
      <c r="K1233" s="141">
        <f t="shared" si="40"/>
        <v>38828.400000000009</v>
      </c>
    </row>
    <row r="1234" spans="1:11">
      <c r="A1234" s="141">
        <v>1234</v>
      </c>
      <c r="B1234" s="142">
        <v>43327</v>
      </c>
      <c r="C1234" s="149">
        <v>21</v>
      </c>
      <c r="D1234" s="141">
        <v>13465.000000000004</v>
      </c>
      <c r="E1234" s="141"/>
      <c r="F1234" s="141"/>
      <c r="G1234" s="141"/>
      <c r="H1234" s="141"/>
      <c r="J1234" s="141">
        <f t="shared" si="39"/>
        <v>0.25</v>
      </c>
      <c r="K1234" s="141">
        <f t="shared" si="40"/>
        <v>38834.400000000009</v>
      </c>
    </row>
    <row r="1235" spans="1:11">
      <c r="A1235" s="141">
        <v>1235</v>
      </c>
      <c r="B1235" s="142">
        <v>43328</v>
      </c>
      <c r="C1235" s="149">
        <v>22.5</v>
      </c>
      <c r="D1235" s="141">
        <v>13487.500000000004</v>
      </c>
      <c r="E1235" s="141"/>
      <c r="F1235" s="141"/>
      <c r="G1235" s="141"/>
      <c r="H1235" s="141"/>
      <c r="J1235" s="141">
        <f t="shared" si="39"/>
        <v>0.25</v>
      </c>
      <c r="K1235" s="141">
        <f t="shared" si="40"/>
        <v>38840.400000000009</v>
      </c>
    </row>
    <row r="1236" spans="1:11">
      <c r="A1236" s="141">
        <v>1236</v>
      </c>
      <c r="B1236" s="142">
        <v>43329</v>
      </c>
      <c r="C1236" s="149">
        <v>23.2</v>
      </c>
      <c r="D1236" s="141">
        <v>13510.700000000004</v>
      </c>
      <c r="E1236" s="141"/>
      <c r="F1236" s="141"/>
      <c r="G1236" s="141"/>
      <c r="H1236" s="141"/>
      <c r="J1236" s="141">
        <f t="shared" si="39"/>
        <v>0.25</v>
      </c>
      <c r="K1236" s="141">
        <f t="shared" si="40"/>
        <v>38846.400000000009</v>
      </c>
    </row>
    <row r="1237" spans="1:11">
      <c r="A1237" s="141">
        <v>1237</v>
      </c>
      <c r="B1237" s="142">
        <v>43330</v>
      </c>
      <c r="C1237" s="149">
        <v>23.4</v>
      </c>
      <c r="D1237" s="141">
        <v>13534.100000000004</v>
      </c>
      <c r="E1237" s="141"/>
      <c r="F1237" s="141"/>
      <c r="G1237" s="141"/>
      <c r="H1237" s="141"/>
      <c r="J1237" s="141">
        <f t="shared" si="39"/>
        <v>0.25</v>
      </c>
      <c r="K1237" s="141">
        <f t="shared" si="40"/>
        <v>38852.400000000009</v>
      </c>
    </row>
    <row r="1238" spans="1:11">
      <c r="A1238" s="141">
        <v>1238</v>
      </c>
      <c r="B1238" s="142">
        <v>43331</v>
      </c>
      <c r="C1238" s="149">
        <v>25.3</v>
      </c>
      <c r="D1238" s="141">
        <v>13559.400000000003</v>
      </c>
      <c r="E1238" s="141"/>
      <c r="F1238" s="141"/>
      <c r="G1238" s="141"/>
      <c r="H1238" s="141"/>
      <c r="J1238" s="141">
        <f t="shared" si="39"/>
        <v>0.25</v>
      </c>
      <c r="K1238" s="141">
        <f t="shared" si="40"/>
        <v>38858.400000000009</v>
      </c>
    </row>
    <row r="1239" spans="1:11">
      <c r="A1239" s="141">
        <v>1239</v>
      </c>
      <c r="B1239" s="142">
        <v>43332</v>
      </c>
      <c r="C1239" s="149">
        <v>25</v>
      </c>
      <c r="D1239" s="141">
        <v>13584.400000000003</v>
      </c>
      <c r="E1239" s="141"/>
      <c r="F1239" s="141"/>
      <c r="G1239" s="141"/>
      <c r="H1239" s="141"/>
      <c r="J1239" s="141">
        <f t="shared" si="39"/>
        <v>0.25</v>
      </c>
      <c r="K1239" s="141">
        <f t="shared" si="40"/>
        <v>38864.400000000009</v>
      </c>
    </row>
    <row r="1240" spans="1:11">
      <c r="A1240" s="141">
        <v>1240</v>
      </c>
      <c r="B1240" s="142">
        <v>43333</v>
      </c>
      <c r="C1240" s="149">
        <v>22.2</v>
      </c>
      <c r="D1240" s="141">
        <v>13606.600000000004</v>
      </c>
      <c r="E1240" s="141"/>
      <c r="F1240" s="141"/>
      <c r="G1240" s="141"/>
      <c r="H1240" s="141"/>
      <c r="J1240" s="141">
        <f t="shared" si="39"/>
        <v>0.25</v>
      </c>
      <c r="K1240" s="141">
        <f t="shared" si="40"/>
        <v>38870.400000000009</v>
      </c>
    </row>
    <row r="1241" spans="1:11">
      <c r="A1241" s="141">
        <v>1241</v>
      </c>
      <c r="B1241" s="142">
        <v>43334</v>
      </c>
      <c r="C1241" s="149">
        <v>23.7</v>
      </c>
      <c r="D1241" s="141">
        <v>13630.300000000005</v>
      </c>
      <c r="E1241" s="141"/>
      <c r="F1241" s="141"/>
      <c r="G1241" s="141"/>
      <c r="H1241" s="141"/>
      <c r="J1241" s="141">
        <f t="shared" si="39"/>
        <v>0.25</v>
      </c>
      <c r="K1241" s="141">
        <f t="shared" si="40"/>
        <v>38876.400000000009</v>
      </c>
    </row>
    <row r="1242" spans="1:11">
      <c r="A1242" s="141">
        <v>1242</v>
      </c>
      <c r="B1242" s="142">
        <v>43335</v>
      </c>
      <c r="C1242" s="149">
        <v>24.5</v>
      </c>
      <c r="D1242" s="141">
        <v>13654.800000000005</v>
      </c>
      <c r="E1242" s="141"/>
      <c r="F1242" s="141"/>
      <c r="G1242" s="141"/>
      <c r="H1242" s="141"/>
      <c r="J1242" s="141">
        <f t="shared" si="39"/>
        <v>0.25</v>
      </c>
      <c r="K1242" s="141">
        <f t="shared" si="40"/>
        <v>38882.400000000009</v>
      </c>
    </row>
    <row r="1243" spans="1:11">
      <c r="A1243" s="141">
        <v>1243</v>
      </c>
      <c r="B1243" s="142">
        <v>43336</v>
      </c>
      <c r="C1243" s="149">
        <v>20.7</v>
      </c>
      <c r="D1243" s="141">
        <v>13675.500000000005</v>
      </c>
      <c r="E1243" s="141"/>
      <c r="F1243" s="141"/>
      <c r="G1243" s="141"/>
      <c r="H1243" s="141"/>
      <c r="J1243" s="141">
        <f t="shared" si="39"/>
        <v>0.25</v>
      </c>
      <c r="K1243" s="141">
        <f t="shared" si="40"/>
        <v>38888.400000000009</v>
      </c>
    </row>
    <row r="1244" spans="1:11">
      <c r="A1244" s="141">
        <v>1244</v>
      </c>
      <c r="B1244" s="142">
        <v>43337</v>
      </c>
      <c r="C1244" s="149">
        <v>16.8</v>
      </c>
      <c r="D1244" s="141">
        <v>13692.300000000005</v>
      </c>
      <c r="E1244" s="141"/>
      <c r="F1244" s="141"/>
      <c r="G1244" s="141"/>
      <c r="H1244" s="141"/>
      <c r="J1244" s="141">
        <f t="shared" si="39"/>
        <v>0.27999999999999992</v>
      </c>
      <c r="K1244" s="141">
        <f t="shared" si="40"/>
        <v>38895.12000000001</v>
      </c>
    </row>
    <row r="1245" spans="1:11">
      <c r="A1245" s="141">
        <v>1245</v>
      </c>
      <c r="B1245" s="142">
        <v>43338</v>
      </c>
      <c r="C1245" s="149">
        <v>15.2</v>
      </c>
      <c r="D1245" s="141">
        <v>13707.500000000005</v>
      </c>
      <c r="E1245" s="141"/>
      <c r="F1245" s="141"/>
      <c r="G1245" s="141"/>
      <c r="H1245" s="141"/>
      <c r="J1245" s="141">
        <f t="shared" si="39"/>
        <v>0.52000000000000013</v>
      </c>
      <c r="K1245" s="141">
        <f t="shared" si="40"/>
        <v>38907.600000000013</v>
      </c>
    </row>
    <row r="1246" spans="1:11">
      <c r="A1246" s="141">
        <v>1246</v>
      </c>
      <c r="B1246" s="142">
        <v>43339</v>
      </c>
      <c r="C1246" s="149">
        <v>17.2</v>
      </c>
      <c r="D1246" s="141">
        <v>13724.700000000006</v>
      </c>
      <c r="E1246" s="141"/>
      <c r="F1246" s="141"/>
      <c r="G1246" s="141"/>
      <c r="H1246" s="141"/>
      <c r="J1246" s="141">
        <f t="shared" si="39"/>
        <v>0.25</v>
      </c>
      <c r="K1246" s="141">
        <f t="shared" si="40"/>
        <v>38913.600000000013</v>
      </c>
    </row>
    <row r="1247" spans="1:11">
      <c r="A1247" s="141">
        <v>1247</v>
      </c>
      <c r="B1247" s="142">
        <v>43340</v>
      </c>
      <c r="C1247" s="149">
        <v>19.2</v>
      </c>
      <c r="D1247" s="141">
        <v>13743.900000000007</v>
      </c>
      <c r="E1247" s="141"/>
      <c r="F1247" s="141"/>
      <c r="G1247" s="141"/>
      <c r="H1247" s="141"/>
      <c r="J1247" s="141">
        <f t="shared" si="39"/>
        <v>0.25</v>
      </c>
      <c r="K1247" s="141">
        <f t="shared" si="40"/>
        <v>38919.600000000013</v>
      </c>
    </row>
    <row r="1248" spans="1:11">
      <c r="A1248" s="141">
        <v>1248</v>
      </c>
      <c r="B1248" s="142">
        <v>43341</v>
      </c>
      <c r="C1248" s="149">
        <v>20.100000000000001</v>
      </c>
      <c r="D1248" s="141">
        <v>13764.000000000007</v>
      </c>
      <c r="E1248" s="141"/>
      <c r="F1248" s="141"/>
      <c r="G1248" s="141"/>
      <c r="H1248" s="141"/>
      <c r="J1248" s="141">
        <f t="shared" si="39"/>
        <v>0.25</v>
      </c>
      <c r="K1248" s="141">
        <f t="shared" si="40"/>
        <v>38925.600000000013</v>
      </c>
    </row>
    <row r="1249" spans="1:11">
      <c r="A1249" s="141">
        <v>1249</v>
      </c>
      <c r="B1249" s="142">
        <v>43342</v>
      </c>
      <c r="C1249" s="149">
        <v>19.100000000000001</v>
      </c>
      <c r="D1249" s="141">
        <v>13783.100000000008</v>
      </c>
      <c r="E1249" s="141"/>
      <c r="F1249" s="141"/>
      <c r="G1249" s="141"/>
      <c r="H1249" s="141"/>
      <c r="J1249" s="141">
        <f t="shared" si="39"/>
        <v>0.25</v>
      </c>
      <c r="K1249" s="141">
        <f t="shared" si="40"/>
        <v>38931.600000000013</v>
      </c>
    </row>
    <row r="1250" spans="1:11">
      <c r="A1250" s="141">
        <v>1250</v>
      </c>
      <c r="B1250" s="142">
        <v>43343</v>
      </c>
      <c r="C1250" s="149">
        <v>15.8</v>
      </c>
      <c r="D1250" s="141">
        <v>13798.900000000007</v>
      </c>
      <c r="E1250" s="141"/>
      <c r="F1250" s="141"/>
      <c r="G1250" s="141"/>
      <c r="H1250" s="141"/>
      <c r="J1250" s="141">
        <f t="shared" si="39"/>
        <v>0.42999999999999988</v>
      </c>
      <c r="K1250" s="141">
        <f t="shared" si="40"/>
        <v>38941.920000000013</v>
      </c>
    </row>
    <row r="1251" spans="1:11">
      <c r="A1251" s="141">
        <v>1251</v>
      </c>
      <c r="B1251" s="142">
        <v>43344</v>
      </c>
      <c r="C1251" s="149">
        <v>14.2</v>
      </c>
      <c r="D1251" s="141">
        <v>13813.100000000008</v>
      </c>
      <c r="E1251" s="141"/>
      <c r="F1251" s="141"/>
      <c r="G1251" s="141"/>
      <c r="H1251" s="141"/>
      <c r="J1251" s="141">
        <f t="shared" si="39"/>
        <v>0.67000000000000015</v>
      </c>
      <c r="K1251" s="141">
        <f t="shared" si="40"/>
        <v>38958.000000000015</v>
      </c>
    </row>
    <row r="1252" spans="1:11">
      <c r="A1252" s="141">
        <v>1252</v>
      </c>
      <c r="B1252" s="142">
        <v>43345</v>
      </c>
      <c r="C1252" s="149">
        <v>16.5</v>
      </c>
      <c r="D1252" s="141">
        <v>13829.600000000008</v>
      </c>
      <c r="E1252" s="141"/>
      <c r="F1252" s="141"/>
      <c r="G1252" s="141"/>
      <c r="H1252" s="141"/>
      <c r="J1252" s="141">
        <f t="shared" si="39"/>
        <v>0.32500000000000001</v>
      </c>
      <c r="K1252" s="141">
        <f t="shared" si="40"/>
        <v>38965.800000000017</v>
      </c>
    </row>
    <row r="1253" spans="1:11">
      <c r="A1253" s="141">
        <v>1253</v>
      </c>
      <c r="B1253" s="142">
        <v>43346</v>
      </c>
      <c r="C1253" s="149">
        <v>18.7</v>
      </c>
      <c r="D1253" s="141">
        <v>13848.300000000008</v>
      </c>
      <c r="E1253" s="141"/>
      <c r="F1253" s="141"/>
      <c r="G1253" s="141"/>
      <c r="H1253" s="141"/>
      <c r="J1253" s="141">
        <f t="shared" si="39"/>
        <v>0.25</v>
      </c>
      <c r="K1253" s="141">
        <f t="shared" si="40"/>
        <v>38971.800000000017</v>
      </c>
    </row>
    <row r="1254" spans="1:11">
      <c r="A1254" s="141">
        <v>1254</v>
      </c>
      <c r="B1254" s="142">
        <v>43347</v>
      </c>
      <c r="C1254" s="149">
        <v>20.2</v>
      </c>
      <c r="D1254" s="141">
        <v>13868.500000000009</v>
      </c>
      <c r="E1254" s="141"/>
      <c r="F1254" s="141"/>
      <c r="G1254" s="141"/>
      <c r="H1254" s="141"/>
      <c r="J1254" s="141">
        <f t="shared" si="39"/>
        <v>0.25</v>
      </c>
      <c r="K1254" s="141">
        <f t="shared" si="40"/>
        <v>38977.800000000017</v>
      </c>
    </row>
    <row r="1255" spans="1:11">
      <c r="A1255" s="141">
        <v>1255</v>
      </c>
      <c r="B1255" s="142">
        <v>43348</v>
      </c>
      <c r="C1255" s="149">
        <v>19.600000000000001</v>
      </c>
      <c r="D1255" s="141">
        <v>13888.100000000009</v>
      </c>
      <c r="E1255" s="141"/>
      <c r="F1255" s="141"/>
      <c r="G1255" s="141"/>
      <c r="H1255" s="141"/>
      <c r="J1255" s="141">
        <f t="shared" si="39"/>
        <v>0.25</v>
      </c>
      <c r="K1255" s="141">
        <f t="shared" si="40"/>
        <v>38983.800000000017</v>
      </c>
    </row>
    <row r="1256" spans="1:11">
      <c r="A1256" s="141">
        <v>1256</v>
      </c>
      <c r="B1256" s="142">
        <v>43349</v>
      </c>
      <c r="C1256" s="149">
        <v>19.2</v>
      </c>
      <c r="D1256" s="141">
        <v>13907.30000000001</v>
      </c>
      <c r="E1256" s="141"/>
      <c r="F1256" s="141"/>
      <c r="G1256" s="141"/>
      <c r="H1256" s="141"/>
      <c r="J1256" s="141">
        <f t="shared" si="39"/>
        <v>0.25</v>
      </c>
      <c r="K1256" s="141">
        <f t="shared" si="40"/>
        <v>38989.800000000017</v>
      </c>
    </row>
    <row r="1257" spans="1:11">
      <c r="A1257" s="141">
        <v>1257</v>
      </c>
      <c r="B1257" s="142">
        <v>43350</v>
      </c>
      <c r="C1257" s="149">
        <v>17.3</v>
      </c>
      <c r="D1257" s="141">
        <v>13924.600000000009</v>
      </c>
      <c r="E1257" s="141"/>
      <c r="F1257" s="141"/>
      <c r="G1257" s="141"/>
      <c r="H1257" s="141"/>
      <c r="J1257" s="141">
        <f t="shared" si="39"/>
        <v>0.25</v>
      </c>
      <c r="K1257" s="141">
        <f t="shared" si="40"/>
        <v>38995.800000000017</v>
      </c>
    </row>
    <row r="1258" spans="1:11">
      <c r="A1258" s="141">
        <v>1258</v>
      </c>
      <c r="B1258" s="142">
        <v>43351</v>
      </c>
      <c r="C1258" s="149">
        <v>17.100000000000001</v>
      </c>
      <c r="D1258" s="141">
        <v>13941.70000000001</v>
      </c>
      <c r="E1258" s="141"/>
      <c r="F1258" s="141"/>
      <c r="G1258" s="141"/>
      <c r="H1258" s="141"/>
      <c r="J1258" s="141">
        <f t="shared" si="39"/>
        <v>0.25</v>
      </c>
      <c r="K1258" s="141">
        <f t="shared" si="40"/>
        <v>39001.800000000017</v>
      </c>
    </row>
    <row r="1259" spans="1:11">
      <c r="A1259" s="141">
        <v>1259</v>
      </c>
      <c r="B1259" s="142">
        <v>43352</v>
      </c>
      <c r="C1259" s="149">
        <v>17</v>
      </c>
      <c r="D1259" s="141">
        <v>13958.70000000001</v>
      </c>
      <c r="E1259" s="141"/>
      <c r="F1259" s="141"/>
      <c r="G1259" s="141"/>
      <c r="H1259" s="141"/>
      <c r="J1259" s="141">
        <f t="shared" si="39"/>
        <v>0.25</v>
      </c>
      <c r="K1259" s="141">
        <f t="shared" si="40"/>
        <v>39007.800000000017</v>
      </c>
    </row>
    <row r="1260" spans="1:11">
      <c r="A1260" s="141">
        <v>1260</v>
      </c>
      <c r="B1260" s="142">
        <v>43353</v>
      </c>
      <c r="C1260" s="149">
        <v>19</v>
      </c>
      <c r="D1260" s="141">
        <v>13977.70000000001</v>
      </c>
      <c r="E1260" s="141"/>
      <c r="F1260" s="141"/>
      <c r="G1260" s="141"/>
      <c r="H1260" s="141"/>
      <c r="J1260" s="141">
        <f t="shared" si="39"/>
        <v>0.25</v>
      </c>
      <c r="K1260" s="141">
        <f t="shared" si="40"/>
        <v>39013.800000000017</v>
      </c>
    </row>
    <row r="1261" spans="1:11">
      <c r="A1261" s="141">
        <v>1261</v>
      </c>
      <c r="B1261" s="142">
        <v>43354</v>
      </c>
      <c r="C1261" s="149">
        <v>21.4</v>
      </c>
      <c r="D1261" s="141">
        <v>13999.100000000009</v>
      </c>
      <c r="E1261" s="141"/>
      <c r="F1261" s="141"/>
      <c r="G1261" s="141"/>
      <c r="H1261" s="141"/>
      <c r="J1261" s="141">
        <f t="shared" si="39"/>
        <v>0.25</v>
      </c>
      <c r="K1261" s="141">
        <f t="shared" si="40"/>
        <v>39019.800000000017</v>
      </c>
    </row>
    <row r="1262" spans="1:11">
      <c r="A1262" s="141">
        <v>1262</v>
      </c>
      <c r="B1262" s="142">
        <v>43355</v>
      </c>
      <c r="C1262" s="149">
        <v>22.1</v>
      </c>
      <c r="D1262" s="141">
        <v>14021.20000000001</v>
      </c>
      <c r="E1262" s="141"/>
      <c r="F1262" s="141"/>
      <c r="G1262" s="141"/>
      <c r="H1262" s="141"/>
      <c r="J1262" s="141">
        <f t="shared" si="39"/>
        <v>0.25</v>
      </c>
      <c r="K1262" s="141">
        <f t="shared" si="40"/>
        <v>39025.800000000017</v>
      </c>
    </row>
    <row r="1263" spans="1:11">
      <c r="A1263" s="141">
        <v>1263</v>
      </c>
      <c r="B1263" s="142">
        <v>43356</v>
      </c>
      <c r="C1263" s="149">
        <v>17.8</v>
      </c>
      <c r="D1263" s="141">
        <v>14039.000000000009</v>
      </c>
      <c r="E1263" s="141"/>
      <c r="F1263" s="141"/>
      <c r="G1263" s="141"/>
      <c r="H1263" s="141"/>
      <c r="J1263" s="141">
        <f t="shared" si="39"/>
        <v>0.25</v>
      </c>
      <c r="K1263" s="141">
        <f t="shared" si="40"/>
        <v>39031.800000000017</v>
      </c>
    </row>
    <row r="1264" spans="1:11">
      <c r="A1264" s="141">
        <v>1264</v>
      </c>
      <c r="B1264" s="142">
        <v>43357</v>
      </c>
      <c r="C1264" s="149">
        <v>16.100000000000001</v>
      </c>
      <c r="D1264" s="141">
        <v>14055.100000000009</v>
      </c>
      <c r="E1264" s="141"/>
      <c r="F1264" s="141"/>
      <c r="G1264" s="141"/>
      <c r="H1264" s="141"/>
      <c r="J1264" s="141">
        <f t="shared" si="39"/>
        <v>0.38499999999999979</v>
      </c>
      <c r="K1264" s="141">
        <f t="shared" si="40"/>
        <v>39041.040000000015</v>
      </c>
    </row>
    <row r="1265" spans="1:11">
      <c r="A1265" s="141">
        <v>1265</v>
      </c>
      <c r="B1265" s="142">
        <v>43358</v>
      </c>
      <c r="C1265" s="149">
        <v>15.8</v>
      </c>
      <c r="D1265" s="141">
        <v>14070.900000000009</v>
      </c>
      <c r="E1265" s="141"/>
      <c r="F1265" s="141"/>
      <c r="G1265" s="141"/>
      <c r="H1265" s="141"/>
      <c r="J1265" s="141">
        <f t="shared" si="39"/>
        <v>0.42999999999999988</v>
      </c>
      <c r="K1265" s="141">
        <f t="shared" si="40"/>
        <v>39051.360000000015</v>
      </c>
    </row>
    <row r="1266" spans="1:11">
      <c r="A1266" s="141">
        <v>1266</v>
      </c>
      <c r="B1266" s="142">
        <v>43359</v>
      </c>
      <c r="C1266" s="149">
        <v>15.8</v>
      </c>
      <c r="D1266" s="141">
        <v>14086.700000000008</v>
      </c>
      <c r="E1266" s="141"/>
      <c r="F1266" s="141"/>
      <c r="G1266" s="141"/>
      <c r="H1266" s="141"/>
      <c r="J1266" s="141">
        <f t="shared" si="39"/>
        <v>0.42999999999999988</v>
      </c>
      <c r="K1266" s="141">
        <f t="shared" si="40"/>
        <v>39061.680000000015</v>
      </c>
    </row>
    <row r="1267" spans="1:11">
      <c r="A1267" s="141">
        <v>1267</v>
      </c>
      <c r="B1267" s="142">
        <v>43360</v>
      </c>
      <c r="C1267" s="149">
        <v>17.399999999999999</v>
      </c>
      <c r="D1267" s="141">
        <v>14104.100000000008</v>
      </c>
      <c r="E1267" s="141"/>
      <c r="F1267" s="141"/>
      <c r="G1267" s="141"/>
      <c r="H1267" s="141"/>
      <c r="J1267" s="141">
        <f t="shared" si="39"/>
        <v>0.25</v>
      </c>
      <c r="K1267" s="141">
        <f t="shared" si="40"/>
        <v>39067.680000000015</v>
      </c>
    </row>
    <row r="1268" spans="1:11">
      <c r="A1268" s="141">
        <v>1268</v>
      </c>
      <c r="B1268" s="142">
        <v>43361</v>
      </c>
      <c r="C1268" s="149">
        <v>20.6</v>
      </c>
      <c r="D1268" s="141">
        <v>14124.700000000008</v>
      </c>
      <c r="E1268" s="141"/>
      <c r="F1268" s="141"/>
      <c r="G1268" s="141"/>
      <c r="H1268" s="141"/>
      <c r="J1268" s="141">
        <f t="shared" si="39"/>
        <v>0.25</v>
      </c>
      <c r="K1268" s="141">
        <f t="shared" si="40"/>
        <v>39073.680000000015</v>
      </c>
    </row>
    <row r="1269" spans="1:11">
      <c r="A1269" s="141">
        <v>1269</v>
      </c>
      <c r="B1269" s="142">
        <v>43362</v>
      </c>
      <c r="C1269" s="149">
        <v>21.3</v>
      </c>
      <c r="D1269" s="141">
        <v>14146.000000000007</v>
      </c>
      <c r="E1269" s="141"/>
      <c r="F1269" s="141"/>
      <c r="G1269" s="141"/>
      <c r="H1269" s="141"/>
      <c r="J1269" s="141">
        <f t="shared" si="39"/>
        <v>0.25</v>
      </c>
      <c r="K1269" s="141">
        <f t="shared" si="40"/>
        <v>39079.680000000015</v>
      </c>
    </row>
    <row r="1270" spans="1:11">
      <c r="A1270" s="141">
        <v>1270</v>
      </c>
      <c r="B1270" s="142">
        <v>43363</v>
      </c>
      <c r="C1270" s="149">
        <v>21.6</v>
      </c>
      <c r="D1270" s="141">
        <v>14167.600000000008</v>
      </c>
      <c r="E1270" s="141"/>
      <c r="F1270" s="141"/>
      <c r="G1270" s="141"/>
      <c r="H1270" s="141"/>
      <c r="J1270" s="141">
        <f t="shared" si="39"/>
        <v>0.25</v>
      </c>
      <c r="K1270" s="141">
        <f t="shared" si="40"/>
        <v>39085.680000000015</v>
      </c>
    </row>
    <row r="1271" spans="1:11">
      <c r="A1271" s="141">
        <v>1271</v>
      </c>
      <c r="B1271" s="142">
        <v>43364</v>
      </c>
      <c r="C1271" s="149">
        <v>21</v>
      </c>
      <c r="D1271" s="141">
        <v>14188.600000000008</v>
      </c>
      <c r="E1271" s="141"/>
      <c r="F1271" s="141"/>
      <c r="G1271" s="141"/>
      <c r="H1271" s="141"/>
      <c r="J1271" s="141">
        <f t="shared" si="39"/>
        <v>0.25</v>
      </c>
      <c r="K1271" s="141">
        <f t="shared" si="40"/>
        <v>39091.680000000015</v>
      </c>
    </row>
    <row r="1272" spans="1:11">
      <c r="A1272" s="141">
        <v>1272</v>
      </c>
      <c r="B1272" s="142">
        <v>43365</v>
      </c>
      <c r="C1272" s="149">
        <v>14.3</v>
      </c>
      <c r="D1272" s="141">
        <v>14202.900000000007</v>
      </c>
      <c r="E1272" s="141"/>
      <c r="F1272" s="141"/>
      <c r="G1272" s="141"/>
      <c r="H1272" s="141"/>
      <c r="J1272" s="141">
        <f t="shared" si="39"/>
        <v>0.65499999999999992</v>
      </c>
      <c r="K1272" s="141">
        <f t="shared" si="40"/>
        <v>39107.400000000016</v>
      </c>
    </row>
    <row r="1273" spans="1:11">
      <c r="A1273" s="141">
        <v>1273</v>
      </c>
      <c r="B1273" s="142">
        <v>43366</v>
      </c>
      <c r="C1273" s="149">
        <v>13.600000000000001</v>
      </c>
      <c r="D1273" s="141">
        <v>14216.500000000007</v>
      </c>
      <c r="E1273" s="141"/>
      <c r="F1273" s="141"/>
      <c r="G1273" s="141"/>
      <c r="H1273" s="141"/>
      <c r="J1273" s="141">
        <f t="shared" si="39"/>
        <v>0.75999999999999979</v>
      </c>
      <c r="K1273" s="141">
        <f t="shared" si="40"/>
        <v>39125.640000000014</v>
      </c>
    </row>
    <row r="1274" spans="1:11">
      <c r="A1274" s="141">
        <v>1274</v>
      </c>
      <c r="B1274" s="142">
        <v>43367</v>
      </c>
      <c r="C1274" s="149">
        <v>9.6000000000000014</v>
      </c>
      <c r="D1274" s="141">
        <v>14226.100000000008</v>
      </c>
      <c r="E1274" s="141"/>
      <c r="F1274" s="141"/>
      <c r="G1274" s="141"/>
      <c r="H1274" s="141"/>
      <c r="J1274" s="141">
        <f t="shared" si="39"/>
        <v>1.3599999999999999</v>
      </c>
      <c r="K1274" s="141">
        <f t="shared" si="40"/>
        <v>39158.280000000013</v>
      </c>
    </row>
    <row r="1275" spans="1:11">
      <c r="A1275" s="141">
        <v>1275</v>
      </c>
      <c r="B1275" s="142">
        <v>43368</v>
      </c>
      <c r="C1275" s="149">
        <v>7.8999999999999986</v>
      </c>
      <c r="D1275" s="141">
        <v>14234.000000000007</v>
      </c>
      <c r="E1275" s="141"/>
      <c r="F1275" s="141"/>
      <c r="G1275" s="141"/>
      <c r="H1275" s="141"/>
      <c r="J1275" s="141">
        <f t="shared" si="39"/>
        <v>1.615</v>
      </c>
      <c r="K1275" s="141">
        <f t="shared" si="40"/>
        <v>39197.040000000015</v>
      </c>
    </row>
    <row r="1276" spans="1:11">
      <c r="A1276" s="141">
        <v>1276</v>
      </c>
      <c r="B1276" s="142">
        <v>43369</v>
      </c>
      <c r="C1276" s="149">
        <v>8.6999999999999993</v>
      </c>
      <c r="D1276" s="141">
        <v>14242.700000000008</v>
      </c>
      <c r="E1276" s="141"/>
      <c r="F1276" s="141"/>
      <c r="G1276" s="141"/>
      <c r="H1276" s="141"/>
      <c r="J1276" s="141">
        <f t="shared" si="39"/>
        <v>1.4950000000000001</v>
      </c>
      <c r="K1276" s="141">
        <f t="shared" si="40"/>
        <v>39232.920000000013</v>
      </c>
    </row>
    <row r="1277" spans="1:11">
      <c r="A1277" s="141">
        <v>1277</v>
      </c>
      <c r="B1277" s="142">
        <v>43370</v>
      </c>
      <c r="C1277" s="149">
        <v>13.7</v>
      </c>
      <c r="D1277" s="141">
        <v>14256.400000000009</v>
      </c>
      <c r="E1277" s="141"/>
      <c r="F1277" s="141"/>
      <c r="G1277" s="141"/>
      <c r="H1277" s="141"/>
      <c r="J1277" s="141">
        <f t="shared" si="39"/>
        <v>0.74500000000000011</v>
      </c>
      <c r="K1277" s="141">
        <f t="shared" si="40"/>
        <v>39250.80000000001</v>
      </c>
    </row>
    <row r="1278" spans="1:11">
      <c r="A1278" s="141">
        <v>1278</v>
      </c>
      <c r="B1278" s="142">
        <v>43371</v>
      </c>
      <c r="C1278" s="149">
        <v>13</v>
      </c>
      <c r="D1278" s="141">
        <v>14269.400000000009</v>
      </c>
      <c r="E1278" s="141"/>
      <c r="F1278" s="141"/>
      <c r="G1278" s="141"/>
      <c r="H1278" s="141"/>
      <c r="J1278" s="141">
        <f t="shared" si="39"/>
        <v>0.85</v>
      </c>
      <c r="K1278" s="141">
        <f t="shared" si="40"/>
        <v>39271.200000000012</v>
      </c>
    </row>
    <row r="1279" spans="1:11">
      <c r="A1279" s="141">
        <v>1279</v>
      </c>
      <c r="B1279" s="142">
        <v>43372</v>
      </c>
      <c r="C1279" s="149">
        <v>9</v>
      </c>
      <c r="D1279" s="141">
        <v>14278.400000000009</v>
      </c>
      <c r="E1279" s="141"/>
      <c r="F1279" s="141"/>
      <c r="G1279" s="141"/>
      <c r="H1279" s="141"/>
      <c r="J1279" s="141">
        <f t="shared" si="39"/>
        <v>1.45</v>
      </c>
      <c r="K1279" s="141">
        <f t="shared" si="40"/>
        <v>39306.000000000015</v>
      </c>
    </row>
    <row r="1280" spans="1:11">
      <c r="A1280" s="141">
        <v>1280</v>
      </c>
      <c r="B1280" s="142">
        <v>43373</v>
      </c>
      <c r="C1280" s="149">
        <v>9.1999999999999993</v>
      </c>
      <c r="D1280" s="141">
        <v>14287.600000000009</v>
      </c>
      <c r="E1280" s="141"/>
      <c r="F1280" s="141"/>
      <c r="G1280" s="141"/>
      <c r="H1280" s="141"/>
      <c r="J1280" s="141">
        <f t="shared" si="39"/>
        <v>1.4200000000000002</v>
      </c>
      <c r="K1280" s="141">
        <f t="shared" si="40"/>
        <v>39340.080000000016</v>
      </c>
    </row>
    <row r="1281" spans="1:11">
      <c r="A1281" s="141">
        <v>1281</v>
      </c>
      <c r="B1281" s="142">
        <v>43374</v>
      </c>
      <c r="C1281" s="149">
        <v>6.8000000000000007</v>
      </c>
      <c r="D1281" s="141">
        <v>14294.400000000009</v>
      </c>
      <c r="E1281" s="141"/>
      <c r="F1281" s="141"/>
      <c r="G1281" s="141"/>
      <c r="H1281" s="141"/>
      <c r="J1281" s="141">
        <f t="shared" si="39"/>
        <v>1.78</v>
      </c>
      <c r="K1281" s="141">
        <f t="shared" si="40"/>
        <v>39382.800000000017</v>
      </c>
    </row>
    <row r="1282" spans="1:11">
      <c r="A1282" s="141">
        <v>1282</v>
      </c>
      <c r="B1282" s="142">
        <v>43375</v>
      </c>
      <c r="C1282" s="149">
        <v>8.6999999999999993</v>
      </c>
      <c r="D1282" s="141">
        <v>14303.100000000009</v>
      </c>
      <c r="E1282" s="141"/>
      <c r="F1282" s="141"/>
      <c r="G1282" s="141"/>
      <c r="H1282" s="141"/>
      <c r="J1282" s="141">
        <f t="shared" si="39"/>
        <v>1.4950000000000001</v>
      </c>
      <c r="K1282" s="141">
        <f t="shared" si="40"/>
        <v>39418.680000000015</v>
      </c>
    </row>
    <row r="1283" spans="1:11">
      <c r="A1283" s="141">
        <v>1283</v>
      </c>
      <c r="B1283" s="142">
        <v>43376</v>
      </c>
      <c r="C1283" s="149">
        <v>11.899999999999999</v>
      </c>
      <c r="D1283" s="141">
        <v>14315.000000000009</v>
      </c>
      <c r="E1283" s="141"/>
      <c r="F1283" s="141"/>
      <c r="G1283" s="141"/>
      <c r="H1283" s="141"/>
      <c r="J1283" s="141">
        <f t="shared" si="39"/>
        <v>1.0150000000000001</v>
      </c>
      <c r="K1283" s="141">
        <f t="shared" si="40"/>
        <v>39443.040000000015</v>
      </c>
    </row>
    <row r="1284" spans="1:11">
      <c r="A1284" s="141">
        <v>1284</v>
      </c>
      <c r="B1284" s="142">
        <v>43377</v>
      </c>
      <c r="C1284" s="149">
        <v>10.600000000000001</v>
      </c>
      <c r="D1284" s="141">
        <v>14325.600000000009</v>
      </c>
      <c r="E1284" s="141"/>
      <c r="F1284" s="141"/>
      <c r="G1284" s="141"/>
      <c r="H1284" s="141"/>
      <c r="J1284" s="141">
        <f t="shared" si="39"/>
        <v>1.2099999999999997</v>
      </c>
      <c r="K1284" s="141">
        <f t="shared" si="40"/>
        <v>39472.080000000016</v>
      </c>
    </row>
    <row r="1285" spans="1:11">
      <c r="A1285" s="141">
        <v>1285</v>
      </c>
      <c r="B1285" s="142">
        <v>43378</v>
      </c>
      <c r="C1285" s="149">
        <v>10.600000000000001</v>
      </c>
      <c r="D1285" s="141">
        <v>14336.20000000001</v>
      </c>
      <c r="E1285" s="141"/>
      <c r="F1285" s="141"/>
      <c r="G1285" s="141"/>
      <c r="H1285" s="141"/>
      <c r="J1285" s="141">
        <f t="shared" si="39"/>
        <v>1.2099999999999997</v>
      </c>
      <c r="K1285" s="141">
        <f t="shared" si="40"/>
        <v>39501.120000000017</v>
      </c>
    </row>
    <row r="1286" spans="1:11">
      <c r="A1286" s="141">
        <v>1286</v>
      </c>
      <c r="B1286" s="142">
        <v>43379</v>
      </c>
      <c r="C1286" s="149">
        <v>12</v>
      </c>
      <c r="D1286" s="141">
        <v>14348.20000000001</v>
      </c>
      <c r="E1286" s="141"/>
      <c r="F1286" s="141"/>
      <c r="G1286" s="141"/>
      <c r="H1286" s="141"/>
      <c r="J1286" s="141">
        <f t="shared" si="39"/>
        <v>1</v>
      </c>
      <c r="K1286" s="141">
        <f t="shared" si="40"/>
        <v>39525.120000000017</v>
      </c>
    </row>
    <row r="1287" spans="1:11">
      <c r="A1287" s="141">
        <v>1287</v>
      </c>
      <c r="B1287" s="142">
        <v>43380</v>
      </c>
      <c r="C1287" s="149">
        <v>12.8</v>
      </c>
      <c r="D1287" s="141">
        <v>14361.000000000009</v>
      </c>
      <c r="E1287" s="141"/>
      <c r="F1287" s="141"/>
      <c r="G1287" s="141"/>
      <c r="H1287" s="141"/>
      <c r="J1287" s="141">
        <f t="shared" ref="J1287:J1350" si="41">J$1+(IF(J$3-$C1287&gt;0,J$3-$C1287,0)*J$2/30)</f>
        <v>0.88</v>
      </c>
      <c r="K1287" s="141">
        <f t="shared" ref="K1287:K1350" si="42">K1286+J1287*24</f>
        <v>39546.24000000002</v>
      </c>
    </row>
    <row r="1288" spans="1:11">
      <c r="A1288" s="141">
        <v>1288</v>
      </c>
      <c r="B1288" s="142">
        <v>43381</v>
      </c>
      <c r="C1288" s="149">
        <v>11.100000000000001</v>
      </c>
      <c r="D1288" s="141">
        <v>14372.100000000009</v>
      </c>
      <c r="E1288" s="141"/>
      <c r="F1288" s="141"/>
      <c r="G1288" s="141"/>
      <c r="H1288" s="141"/>
      <c r="J1288" s="141">
        <f t="shared" si="41"/>
        <v>1.1349999999999998</v>
      </c>
      <c r="K1288" s="141">
        <f t="shared" si="42"/>
        <v>39573.480000000018</v>
      </c>
    </row>
    <row r="1289" spans="1:11">
      <c r="A1289" s="141">
        <v>1289</v>
      </c>
      <c r="B1289" s="142">
        <v>43382</v>
      </c>
      <c r="C1289" s="149">
        <v>10</v>
      </c>
      <c r="D1289" s="141">
        <v>14382.100000000009</v>
      </c>
      <c r="E1289" s="141"/>
      <c r="F1289" s="141"/>
      <c r="G1289" s="141"/>
      <c r="H1289" s="141"/>
      <c r="J1289" s="141">
        <f t="shared" si="41"/>
        <v>1.3</v>
      </c>
      <c r="K1289" s="141">
        <f t="shared" si="42"/>
        <v>39604.680000000015</v>
      </c>
    </row>
    <row r="1290" spans="1:11">
      <c r="A1290" s="141">
        <v>1290</v>
      </c>
      <c r="B1290" s="142">
        <v>43383</v>
      </c>
      <c r="C1290" s="149">
        <v>14.2</v>
      </c>
      <c r="D1290" s="141">
        <v>14396.30000000001</v>
      </c>
      <c r="E1290" s="141"/>
      <c r="F1290" s="141"/>
      <c r="G1290" s="141"/>
      <c r="H1290" s="141"/>
      <c r="J1290" s="141">
        <f t="shared" si="41"/>
        <v>0.67000000000000015</v>
      </c>
      <c r="K1290" s="141">
        <f t="shared" si="42"/>
        <v>39620.760000000017</v>
      </c>
    </row>
    <row r="1291" spans="1:11">
      <c r="A1291" s="141">
        <v>1291</v>
      </c>
      <c r="B1291" s="142">
        <v>43384</v>
      </c>
      <c r="C1291" s="149">
        <v>16.600000000000001</v>
      </c>
      <c r="D1291" s="141">
        <v>14412.900000000011</v>
      </c>
      <c r="E1291" s="141"/>
      <c r="F1291" s="141"/>
      <c r="G1291" s="141"/>
      <c r="H1291" s="141"/>
      <c r="J1291" s="141">
        <f t="shared" si="41"/>
        <v>0.30999999999999978</v>
      </c>
      <c r="K1291" s="141">
        <f t="shared" si="42"/>
        <v>39628.200000000019</v>
      </c>
    </row>
    <row r="1292" spans="1:11">
      <c r="A1292" s="141">
        <v>1292</v>
      </c>
      <c r="B1292" s="142">
        <v>43385</v>
      </c>
      <c r="C1292" s="149">
        <v>15.1</v>
      </c>
      <c r="D1292" s="141">
        <v>14428.000000000011</v>
      </c>
      <c r="E1292" s="141"/>
      <c r="F1292" s="141"/>
      <c r="G1292" s="141"/>
      <c r="H1292" s="141"/>
      <c r="J1292" s="141">
        <f t="shared" si="41"/>
        <v>0.53500000000000003</v>
      </c>
      <c r="K1292" s="141">
        <f t="shared" si="42"/>
        <v>39641.040000000015</v>
      </c>
    </row>
    <row r="1293" spans="1:11">
      <c r="A1293" s="141">
        <v>1293</v>
      </c>
      <c r="B1293" s="142">
        <v>43386</v>
      </c>
      <c r="C1293" s="149">
        <v>14.5</v>
      </c>
      <c r="D1293" s="141">
        <v>14442.500000000011</v>
      </c>
      <c r="E1293" s="141"/>
      <c r="F1293" s="141"/>
      <c r="G1293" s="141"/>
      <c r="H1293" s="141"/>
      <c r="J1293" s="141">
        <f t="shared" si="41"/>
        <v>0.625</v>
      </c>
      <c r="K1293" s="141">
        <f t="shared" si="42"/>
        <v>39656.040000000015</v>
      </c>
    </row>
    <row r="1294" spans="1:11">
      <c r="A1294" s="141">
        <v>1294</v>
      </c>
      <c r="B1294" s="142">
        <v>43387</v>
      </c>
      <c r="C1294" s="149">
        <v>15.6</v>
      </c>
      <c r="D1294" s="141">
        <v>14458.100000000011</v>
      </c>
      <c r="E1294" s="141"/>
      <c r="F1294" s="141"/>
      <c r="G1294" s="141"/>
      <c r="H1294" s="141"/>
      <c r="J1294" s="141">
        <f t="shared" si="41"/>
        <v>0.46000000000000008</v>
      </c>
      <c r="K1294" s="141">
        <f t="shared" si="42"/>
        <v>39667.080000000016</v>
      </c>
    </row>
    <row r="1295" spans="1:11">
      <c r="A1295" s="141">
        <v>1295</v>
      </c>
      <c r="B1295" s="142">
        <v>43388</v>
      </c>
      <c r="C1295" s="149">
        <v>15.6</v>
      </c>
      <c r="D1295" s="141">
        <v>14473.700000000012</v>
      </c>
      <c r="E1295" s="141"/>
      <c r="F1295" s="141"/>
      <c r="G1295" s="141"/>
      <c r="H1295" s="141"/>
      <c r="J1295" s="141">
        <f t="shared" si="41"/>
        <v>0.46000000000000008</v>
      </c>
      <c r="K1295" s="141">
        <f t="shared" si="42"/>
        <v>39678.120000000017</v>
      </c>
    </row>
    <row r="1296" spans="1:11">
      <c r="A1296" s="141">
        <v>1296</v>
      </c>
      <c r="B1296" s="142">
        <v>43389</v>
      </c>
      <c r="C1296" s="149">
        <v>13</v>
      </c>
      <c r="D1296" s="141">
        <v>14486.700000000012</v>
      </c>
      <c r="E1296" s="141"/>
      <c r="F1296" s="141"/>
      <c r="G1296" s="141"/>
      <c r="H1296" s="141"/>
      <c r="J1296" s="141">
        <f t="shared" si="41"/>
        <v>0.85</v>
      </c>
      <c r="K1296" s="141">
        <f t="shared" si="42"/>
        <v>39698.520000000019</v>
      </c>
    </row>
    <row r="1297" spans="1:11">
      <c r="A1297" s="141">
        <v>1297</v>
      </c>
      <c r="B1297" s="142">
        <v>43390</v>
      </c>
      <c r="C1297" s="149">
        <v>11.3</v>
      </c>
      <c r="D1297" s="141">
        <v>14498.000000000011</v>
      </c>
      <c r="E1297" s="141"/>
      <c r="F1297" s="141"/>
      <c r="G1297" s="141"/>
      <c r="H1297" s="141"/>
      <c r="J1297" s="141">
        <f t="shared" si="41"/>
        <v>1.105</v>
      </c>
      <c r="K1297" s="141">
        <f t="shared" si="42"/>
        <v>39725.040000000015</v>
      </c>
    </row>
    <row r="1298" spans="1:11">
      <c r="A1298" s="141">
        <v>1298</v>
      </c>
      <c r="B1298" s="142">
        <v>43391</v>
      </c>
      <c r="C1298" s="149">
        <v>11.100000000000001</v>
      </c>
      <c r="D1298" s="141">
        <v>14509.100000000011</v>
      </c>
      <c r="E1298" s="141"/>
      <c r="F1298" s="141"/>
      <c r="G1298" s="141"/>
      <c r="H1298" s="141"/>
      <c r="J1298" s="141">
        <f t="shared" si="41"/>
        <v>1.1349999999999998</v>
      </c>
      <c r="K1298" s="141">
        <f t="shared" si="42"/>
        <v>39752.280000000013</v>
      </c>
    </row>
    <row r="1299" spans="1:11">
      <c r="A1299" s="141">
        <v>1299</v>
      </c>
      <c r="B1299" s="142">
        <v>43392</v>
      </c>
      <c r="C1299" s="149">
        <v>11.8</v>
      </c>
      <c r="D1299" s="141">
        <v>14520.900000000011</v>
      </c>
      <c r="E1299" s="141"/>
      <c r="F1299" s="141"/>
      <c r="G1299" s="141"/>
      <c r="H1299" s="141"/>
      <c r="J1299" s="141">
        <f t="shared" si="41"/>
        <v>1.0299999999999998</v>
      </c>
      <c r="K1299" s="141">
        <f t="shared" si="42"/>
        <v>39777.000000000015</v>
      </c>
    </row>
    <row r="1300" spans="1:11">
      <c r="A1300" s="141">
        <v>1300</v>
      </c>
      <c r="B1300" s="142">
        <v>43393</v>
      </c>
      <c r="C1300" s="149">
        <v>10.3</v>
      </c>
      <c r="D1300" s="141">
        <v>14531.20000000001</v>
      </c>
      <c r="E1300" s="141"/>
      <c r="F1300" s="141"/>
      <c r="G1300" s="141"/>
      <c r="H1300" s="141"/>
      <c r="J1300" s="141">
        <f t="shared" si="41"/>
        <v>1.2549999999999999</v>
      </c>
      <c r="K1300" s="141">
        <f t="shared" si="42"/>
        <v>39807.120000000017</v>
      </c>
    </row>
    <row r="1301" spans="1:11">
      <c r="A1301" s="141">
        <v>1301</v>
      </c>
      <c r="B1301" s="142">
        <v>43394</v>
      </c>
      <c r="C1301" s="149">
        <v>8.6000000000000014</v>
      </c>
      <c r="D1301" s="141">
        <v>14539.80000000001</v>
      </c>
      <c r="E1301" s="141"/>
      <c r="F1301" s="141"/>
      <c r="G1301" s="141"/>
      <c r="H1301" s="141"/>
      <c r="J1301" s="141">
        <f t="shared" si="41"/>
        <v>1.51</v>
      </c>
      <c r="K1301" s="141">
        <f t="shared" si="42"/>
        <v>39843.360000000015</v>
      </c>
    </row>
    <row r="1302" spans="1:11">
      <c r="A1302" s="141">
        <v>1302</v>
      </c>
      <c r="B1302" s="142">
        <v>43395</v>
      </c>
      <c r="C1302" s="149">
        <v>7</v>
      </c>
      <c r="D1302" s="141">
        <v>14546.80000000001</v>
      </c>
      <c r="E1302" s="141"/>
      <c r="F1302" s="141"/>
      <c r="G1302" s="141"/>
      <c r="H1302" s="141"/>
      <c r="J1302" s="141">
        <f t="shared" si="41"/>
        <v>1.75</v>
      </c>
      <c r="K1302" s="141">
        <f t="shared" si="42"/>
        <v>39885.360000000015</v>
      </c>
    </row>
    <row r="1303" spans="1:11">
      <c r="A1303" s="141">
        <v>1303</v>
      </c>
      <c r="B1303" s="142">
        <v>43396</v>
      </c>
      <c r="C1303" s="149">
        <v>7.8999999999999986</v>
      </c>
      <c r="D1303" s="141">
        <v>14554.70000000001</v>
      </c>
      <c r="E1303" s="141"/>
      <c r="F1303" s="141"/>
      <c r="G1303" s="141"/>
      <c r="H1303" s="141"/>
      <c r="J1303" s="141">
        <f t="shared" si="41"/>
        <v>1.615</v>
      </c>
      <c r="K1303" s="141">
        <f t="shared" si="42"/>
        <v>39924.120000000017</v>
      </c>
    </row>
    <row r="1304" spans="1:11">
      <c r="A1304" s="141">
        <v>1304</v>
      </c>
      <c r="B1304" s="142">
        <v>43397</v>
      </c>
      <c r="C1304" s="149">
        <v>9.8000000000000007</v>
      </c>
      <c r="D1304" s="141">
        <v>14564.500000000009</v>
      </c>
      <c r="E1304" s="141"/>
      <c r="F1304" s="141"/>
      <c r="G1304" s="141"/>
      <c r="H1304" s="141"/>
      <c r="J1304" s="141">
        <f t="shared" si="41"/>
        <v>1.3299999999999998</v>
      </c>
      <c r="K1304" s="141">
        <f t="shared" si="42"/>
        <v>39956.040000000015</v>
      </c>
    </row>
    <row r="1305" spans="1:11">
      <c r="A1305" s="141">
        <v>1305</v>
      </c>
      <c r="B1305" s="142">
        <v>43398</v>
      </c>
      <c r="C1305" s="149">
        <v>11.399999999999999</v>
      </c>
      <c r="D1305" s="141">
        <v>14575.900000000009</v>
      </c>
      <c r="E1305" s="141"/>
      <c r="F1305" s="141"/>
      <c r="G1305" s="141"/>
      <c r="H1305" s="141"/>
      <c r="J1305" s="141">
        <f t="shared" si="41"/>
        <v>1.0900000000000003</v>
      </c>
      <c r="K1305" s="141">
        <f t="shared" si="42"/>
        <v>39982.200000000019</v>
      </c>
    </row>
    <row r="1306" spans="1:11">
      <c r="A1306" s="141">
        <v>1306</v>
      </c>
      <c r="B1306" s="142">
        <v>43399</v>
      </c>
      <c r="C1306" s="149">
        <v>10.3</v>
      </c>
      <c r="D1306" s="141">
        <v>14586.200000000008</v>
      </c>
      <c r="E1306" s="141"/>
      <c r="F1306" s="141"/>
      <c r="G1306" s="141"/>
      <c r="H1306" s="141"/>
      <c r="J1306" s="141">
        <f t="shared" si="41"/>
        <v>1.2549999999999999</v>
      </c>
      <c r="K1306" s="141">
        <f t="shared" si="42"/>
        <v>40012.320000000022</v>
      </c>
    </row>
    <row r="1307" spans="1:11">
      <c r="A1307" s="141">
        <v>1307</v>
      </c>
      <c r="B1307" s="142">
        <v>43400</v>
      </c>
      <c r="C1307" s="149">
        <v>7.8999999999999986</v>
      </c>
      <c r="D1307" s="141">
        <v>14594.100000000008</v>
      </c>
      <c r="E1307" s="141"/>
      <c r="F1307" s="141"/>
      <c r="G1307" s="141"/>
      <c r="H1307" s="141"/>
      <c r="J1307" s="141">
        <f t="shared" si="41"/>
        <v>1.615</v>
      </c>
      <c r="K1307" s="141">
        <f t="shared" si="42"/>
        <v>40051.080000000024</v>
      </c>
    </row>
    <row r="1308" spans="1:11">
      <c r="A1308" s="141">
        <v>1308</v>
      </c>
      <c r="B1308" s="142">
        <v>43401</v>
      </c>
      <c r="C1308" s="149">
        <v>2.6999999999999993</v>
      </c>
      <c r="D1308" s="141">
        <v>14596.800000000008</v>
      </c>
      <c r="E1308" s="141"/>
      <c r="F1308" s="141"/>
      <c r="G1308" s="141"/>
      <c r="H1308" s="141"/>
      <c r="J1308" s="141">
        <f t="shared" si="41"/>
        <v>2.3950000000000005</v>
      </c>
      <c r="K1308" s="141">
        <f t="shared" si="42"/>
        <v>40108.560000000027</v>
      </c>
    </row>
    <row r="1309" spans="1:11">
      <c r="A1309" s="141">
        <v>1309</v>
      </c>
      <c r="B1309" s="142">
        <v>43402</v>
      </c>
      <c r="C1309" s="149">
        <v>6</v>
      </c>
      <c r="D1309" s="141">
        <v>14602.800000000008</v>
      </c>
      <c r="E1309" s="141"/>
      <c r="F1309" s="141"/>
      <c r="G1309" s="141"/>
      <c r="H1309" s="141"/>
      <c r="J1309" s="141">
        <f t="shared" si="41"/>
        <v>1.9</v>
      </c>
      <c r="K1309" s="141">
        <f t="shared" si="42"/>
        <v>40154.160000000025</v>
      </c>
    </row>
    <row r="1310" spans="1:11">
      <c r="A1310" s="141">
        <v>1310</v>
      </c>
      <c r="B1310" s="142">
        <v>43403</v>
      </c>
      <c r="C1310" s="149">
        <v>15.4</v>
      </c>
      <c r="D1310" s="141">
        <v>14618.200000000008</v>
      </c>
      <c r="E1310" s="141"/>
      <c r="F1310" s="141"/>
      <c r="G1310" s="141"/>
      <c r="H1310" s="141"/>
      <c r="J1310" s="141">
        <f t="shared" si="41"/>
        <v>0.48999999999999994</v>
      </c>
      <c r="K1310" s="141">
        <f t="shared" si="42"/>
        <v>40165.920000000027</v>
      </c>
    </row>
    <row r="1311" spans="1:11">
      <c r="A1311" s="141">
        <v>1311</v>
      </c>
      <c r="B1311" s="142">
        <v>43404</v>
      </c>
      <c r="C1311" s="149">
        <v>8.6000000000000014</v>
      </c>
      <c r="D1311" s="141">
        <v>14626.800000000008</v>
      </c>
      <c r="E1311" s="141"/>
      <c r="F1311" s="141"/>
      <c r="G1311" s="141"/>
      <c r="H1311" s="141"/>
      <c r="J1311" s="141">
        <f t="shared" si="41"/>
        <v>1.51</v>
      </c>
      <c r="K1311" s="141">
        <f t="shared" si="42"/>
        <v>40202.160000000025</v>
      </c>
    </row>
    <row r="1312" spans="1:11">
      <c r="A1312" s="141">
        <v>1312</v>
      </c>
      <c r="B1312" s="142">
        <v>43405</v>
      </c>
      <c r="C1312" s="149">
        <v>9.1999999999999993</v>
      </c>
      <c r="D1312" s="141">
        <v>14636.000000000009</v>
      </c>
      <c r="E1312" s="141"/>
      <c r="F1312" s="141"/>
      <c r="G1312" s="141"/>
      <c r="H1312" s="141"/>
      <c r="J1312" s="141">
        <f t="shared" si="41"/>
        <v>1.4200000000000002</v>
      </c>
      <c r="K1312" s="141">
        <f t="shared" si="42"/>
        <v>40236.240000000027</v>
      </c>
    </row>
    <row r="1313" spans="1:11">
      <c r="A1313" s="141">
        <v>1313</v>
      </c>
      <c r="B1313" s="142">
        <v>43406</v>
      </c>
      <c r="C1313" s="149">
        <v>8</v>
      </c>
      <c r="D1313" s="141">
        <v>14644.000000000009</v>
      </c>
      <c r="E1313" s="141"/>
      <c r="F1313" s="141"/>
      <c r="G1313" s="141"/>
      <c r="H1313" s="141"/>
      <c r="J1313" s="141">
        <f t="shared" si="41"/>
        <v>1.6</v>
      </c>
      <c r="K1313" s="141">
        <f t="shared" si="42"/>
        <v>40274.640000000029</v>
      </c>
    </row>
    <row r="1314" spans="1:11">
      <c r="A1314" s="141">
        <v>1314</v>
      </c>
      <c r="B1314" s="142">
        <v>43407</v>
      </c>
      <c r="C1314" s="149">
        <v>9</v>
      </c>
      <c r="D1314" s="141">
        <v>14653.000000000009</v>
      </c>
      <c r="E1314" s="141"/>
      <c r="F1314" s="141"/>
      <c r="G1314" s="141"/>
      <c r="H1314" s="141"/>
      <c r="J1314" s="141">
        <f t="shared" si="41"/>
        <v>1.45</v>
      </c>
      <c r="K1314" s="141">
        <f t="shared" si="42"/>
        <v>40309.440000000031</v>
      </c>
    </row>
    <row r="1315" spans="1:11">
      <c r="A1315" s="141">
        <v>1315</v>
      </c>
      <c r="B1315" s="142">
        <v>43408</v>
      </c>
      <c r="C1315" s="149">
        <v>10.899999999999999</v>
      </c>
      <c r="D1315" s="141">
        <v>14663.900000000009</v>
      </c>
      <c r="E1315" s="141"/>
      <c r="F1315" s="141"/>
      <c r="G1315" s="141"/>
      <c r="H1315" s="141"/>
      <c r="J1315" s="141">
        <f t="shared" si="41"/>
        <v>1.1650000000000003</v>
      </c>
      <c r="K1315" s="141">
        <f t="shared" si="42"/>
        <v>40337.400000000031</v>
      </c>
    </row>
    <row r="1316" spans="1:11">
      <c r="A1316" s="141">
        <v>1316</v>
      </c>
      <c r="B1316" s="142">
        <v>43409</v>
      </c>
      <c r="C1316" s="149">
        <v>10.8</v>
      </c>
      <c r="D1316" s="141">
        <v>14674.700000000008</v>
      </c>
      <c r="E1316" s="141"/>
      <c r="F1316" s="141"/>
      <c r="G1316" s="141"/>
      <c r="H1316" s="141"/>
      <c r="J1316" s="141">
        <f t="shared" si="41"/>
        <v>1.18</v>
      </c>
      <c r="K1316" s="141">
        <f t="shared" si="42"/>
        <v>40365.72000000003</v>
      </c>
    </row>
    <row r="1317" spans="1:11">
      <c r="A1317" s="141">
        <v>1317</v>
      </c>
      <c r="B1317" s="142">
        <v>43410</v>
      </c>
      <c r="C1317" s="149">
        <v>10.899999999999999</v>
      </c>
      <c r="D1317" s="141">
        <v>14685.600000000008</v>
      </c>
      <c r="E1317" s="141"/>
      <c r="F1317" s="141"/>
      <c r="G1317" s="141"/>
      <c r="H1317" s="141"/>
      <c r="J1317" s="141">
        <f t="shared" si="41"/>
        <v>1.1650000000000003</v>
      </c>
      <c r="K1317" s="141">
        <f t="shared" si="42"/>
        <v>40393.680000000029</v>
      </c>
    </row>
    <row r="1318" spans="1:11">
      <c r="A1318" s="141">
        <v>1318</v>
      </c>
      <c r="B1318" s="142">
        <v>43411</v>
      </c>
      <c r="C1318" s="149">
        <v>9.3999999999999986</v>
      </c>
      <c r="D1318" s="141">
        <v>14695.000000000007</v>
      </c>
      <c r="E1318" s="141"/>
      <c r="F1318" s="141"/>
      <c r="G1318" s="141"/>
      <c r="H1318" s="141"/>
      <c r="J1318" s="141">
        <f t="shared" si="41"/>
        <v>1.3900000000000001</v>
      </c>
      <c r="K1318" s="141">
        <f t="shared" si="42"/>
        <v>40427.04000000003</v>
      </c>
    </row>
    <row r="1319" spans="1:11">
      <c r="A1319" s="141">
        <v>1319</v>
      </c>
      <c r="B1319" s="142">
        <v>43412</v>
      </c>
      <c r="C1319" s="149">
        <v>10.100000000000001</v>
      </c>
      <c r="D1319" s="141">
        <v>14705.100000000008</v>
      </c>
      <c r="E1319" s="141"/>
      <c r="F1319" s="141"/>
      <c r="G1319" s="141"/>
      <c r="H1319" s="141"/>
      <c r="J1319" s="141">
        <f t="shared" si="41"/>
        <v>1.2849999999999997</v>
      </c>
      <c r="K1319" s="141">
        <f t="shared" si="42"/>
        <v>40457.880000000026</v>
      </c>
    </row>
    <row r="1320" spans="1:11">
      <c r="A1320" s="141">
        <v>1320</v>
      </c>
      <c r="B1320" s="142">
        <v>43413</v>
      </c>
      <c r="C1320" s="149">
        <v>8.3000000000000007</v>
      </c>
      <c r="D1320" s="141">
        <v>14713.400000000007</v>
      </c>
      <c r="E1320" s="141"/>
      <c r="F1320" s="141"/>
      <c r="G1320" s="141"/>
      <c r="H1320" s="141"/>
      <c r="J1320" s="141">
        <f t="shared" si="41"/>
        <v>1.5549999999999999</v>
      </c>
      <c r="K1320" s="141">
        <f t="shared" si="42"/>
        <v>40495.200000000026</v>
      </c>
    </row>
    <row r="1321" spans="1:11">
      <c r="A1321" s="141">
        <v>1321</v>
      </c>
      <c r="B1321" s="142">
        <v>43414</v>
      </c>
      <c r="C1321" s="149">
        <v>9</v>
      </c>
      <c r="D1321" s="141">
        <v>14722.400000000007</v>
      </c>
      <c r="E1321" s="141"/>
      <c r="F1321" s="141"/>
      <c r="G1321" s="141"/>
      <c r="H1321" s="141"/>
      <c r="J1321" s="141">
        <f t="shared" si="41"/>
        <v>1.45</v>
      </c>
      <c r="K1321" s="141">
        <f t="shared" si="42"/>
        <v>40530.000000000029</v>
      </c>
    </row>
    <row r="1322" spans="1:11">
      <c r="A1322" s="141">
        <v>1322</v>
      </c>
      <c r="B1322" s="142">
        <v>43415</v>
      </c>
      <c r="C1322" s="149">
        <v>8.8999999999999986</v>
      </c>
      <c r="D1322" s="141">
        <v>14731.300000000007</v>
      </c>
      <c r="E1322" s="141"/>
      <c r="F1322" s="141"/>
      <c r="G1322" s="141"/>
      <c r="H1322" s="141"/>
      <c r="J1322" s="141">
        <f t="shared" si="41"/>
        <v>1.4650000000000001</v>
      </c>
      <c r="K1322" s="141">
        <f t="shared" si="42"/>
        <v>40565.160000000033</v>
      </c>
    </row>
    <row r="1323" spans="1:11">
      <c r="A1323" s="141">
        <v>1323</v>
      </c>
      <c r="B1323" s="142">
        <v>43416</v>
      </c>
      <c r="C1323" s="149">
        <v>7.6999999999999993</v>
      </c>
      <c r="D1323" s="141">
        <v>14739.000000000007</v>
      </c>
      <c r="E1323" s="141"/>
      <c r="F1323" s="141"/>
      <c r="G1323" s="141"/>
      <c r="H1323" s="141"/>
      <c r="J1323" s="141">
        <f t="shared" si="41"/>
        <v>1.645</v>
      </c>
      <c r="K1323" s="141">
        <f t="shared" si="42"/>
        <v>40604.640000000036</v>
      </c>
    </row>
    <row r="1324" spans="1:11">
      <c r="A1324" s="141">
        <v>1324</v>
      </c>
      <c r="B1324" s="142">
        <v>43417</v>
      </c>
      <c r="C1324" s="149">
        <v>8.6000000000000014</v>
      </c>
      <c r="D1324" s="141">
        <v>14747.600000000008</v>
      </c>
      <c r="E1324" s="141"/>
      <c r="F1324" s="141"/>
      <c r="G1324" s="141"/>
      <c r="H1324" s="141"/>
      <c r="J1324" s="141">
        <f t="shared" si="41"/>
        <v>1.51</v>
      </c>
      <c r="K1324" s="141">
        <f t="shared" si="42"/>
        <v>40640.880000000034</v>
      </c>
    </row>
    <row r="1325" spans="1:11">
      <c r="A1325" s="141">
        <v>1325</v>
      </c>
      <c r="B1325" s="142">
        <v>43418</v>
      </c>
      <c r="C1325" s="149">
        <v>6.1999999999999993</v>
      </c>
      <c r="D1325" s="141">
        <v>14753.800000000008</v>
      </c>
      <c r="E1325" s="141"/>
      <c r="F1325" s="141"/>
      <c r="G1325" s="141"/>
      <c r="H1325" s="141"/>
      <c r="J1325" s="141">
        <f t="shared" si="41"/>
        <v>1.87</v>
      </c>
      <c r="K1325" s="141">
        <f t="shared" si="42"/>
        <v>40685.760000000031</v>
      </c>
    </row>
    <row r="1326" spans="1:11">
      <c r="A1326" s="141">
        <v>1326</v>
      </c>
      <c r="B1326" s="142">
        <v>43419</v>
      </c>
      <c r="C1326" s="149">
        <v>3.6000000000000014</v>
      </c>
      <c r="D1326" s="141">
        <v>14757.400000000009</v>
      </c>
      <c r="E1326" s="141"/>
      <c r="F1326" s="141"/>
      <c r="G1326" s="141"/>
      <c r="H1326" s="141"/>
      <c r="J1326" s="141">
        <f t="shared" si="41"/>
        <v>2.2599999999999998</v>
      </c>
      <c r="K1326" s="141">
        <f t="shared" si="42"/>
        <v>40740.000000000029</v>
      </c>
    </row>
    <row r="1327" spans="1:11">
      <c r="A1327" s="141">
        <v>1327</v>
      </c>
      <c r="B1327" s="142">
        <v>43420</v>
      </c>
      <c r="C1327" s="149">
        <v>0.60000000000000142</v>
      </c>
      <c r="D1327" s="141">
        <v>14758.000000000009</v>
      </c>
      <c r="E1327" s="141"/>
      <c r="F1327" s="141"/>
      <c r="G1327" s="141"/>
      <c r="H1327" s="141"/>
      <c r="J1327" s="141">
        <f t="shared" si="41"/>
        <v>2.71</v>
      </c>
      <c r="K1327" s="141">
        <f t="shared" si="42"/>
        <v>40805.04000000003</v>
      </c>
    </row>
    <row r="1328" spans="1:11">
      <c r="A1328" s="141">
        <v>1328</v>
      </c>
      <c r="B1328" s="142">
        <v>43421</v>
      </c>
      <c r="C1328" s="149">
        <v>1.3999999999999986</v>
      </c>
      <c r="D1328" s="141">
        <v>14759.400000000009</v>
      </c>
      <c r="E1328" s="141"/>
      <c r="F1328" s="141"/>
      <c r="G1328" s="141"/>
      <c r="H1328" s="141"/>
      <c r="J1328" s="141">
        <f t="shared" si="41"/>
        <v>2.5900000000000003</v>
      </c>
      <c r="K1328" s="141">
        <f t="shared" si="42"/>
        <v>40867.200000000033</v>
      </c>
    </row>
    <row r="1329" spans="1:11">
      <c r="A1329" s="141">
        <v>1329</v>
      </c>
      <c r="B1329" s="142">
        <v>43422</v>
      </c>
      <c r="C1329" s="149">
        <v>-0.30000000000000071</v>
      </c>
      <c r="D1329" s="141">
        <v>14759.100000000009</v>
      </c>
      <c r="E1329" s="141"/>
      <c r="F1329" s="141"/>
      <c r="G1329" s="141"/>
      <c r="H1329" s="141"/>
      <c r="J1329" s="141">
        <f t="shared" si="41"/>
        <v>2.8450000000000002</v>
      </c>
      <c r="K1329" s="141">
        <f t="shared" si="42"/>
        <v>40935.480000000032</v>
      </c>
    </row>
    <row r="1330" spans="1:11">
      <c r="A1330" s="141">
        <v>1330</v>
      </c>
      <c r="B1330" s="142">
        <v>43423</v>
      </c>
      <c r="C1330" s="149">
        <v>0.10000000000000142</v>
      </c>
      <c r="D1330" s="141">
        <v>14759.20000000001</v>
      </c>
      <c r="E1330" s="141"/>
      <c r="F1330" s="141"/>
      <c r="G1330" s="141"/>
      <c r="H1330" s="141"/>
      <c r="J1330" s="141">
        <f t="shared" si="41"/>
        <v>2.7849999999999997</v>
      </c>
      <c r="K1330" s="141">
        <f t="shared" si="42"/>
        <v>41002.320000000029</v>
      </c>
    </row>
    <row r="1331" spans="1:11">
      <c r="A1331" s="141">
        <v>1331</v>
      </c>
      <c r="B1331" s="142">
        <v>43424</v>
      </c>
      <c r="C1331" s="149">
        <v>0.19999999999999929</v>
      </c>
      <c r="D1331" s="141">
        <v>14759.400000000011</v>
      </c>
      <c r="E1331" s="141"/>
      <c r="F1331" s="141"/>
      <c r="G1331" s="141"/>
      <c r="H1331" s="141"/>
      <c r="J1331" s="141">
        <f t="shared" si="41"/>
        <v>2.7700000000000005</v>
      </c>
      <c r="K1331" s="141">
        <f t="shared" si="42"/>
        <v>41068.800000000032</v>
      </c>
    </row>
    <row r="1332" spans="1:11">
      <c r="A1332" s="141">
        <v>1332</v>
      </c>
      <c r="B1332" s="142">
        <v>43425</v>
      </c>
      <c r="C1332" s="149">
        <v>1.1000000000000014</v>
      </c>
      <c r="D1332" s="141">
        <v>14760.500000000011</v>
      </c>
      <c r="E1332" s="141"/>
      <c r="F1332" s="141"/>
      <c r="G1332" s="141"/>
      <c r="H1332" s="141"/>
      <c r="J1332" s="141">
        <f t="shared" si="41"/>
        <v>2.6349999999999998</v>
      </c>
      <c r="K1332" s="141">
        <f t="shared" si="42"/>
        <v>41132.04000000003</v>
      </c>
    </row>
    <row r="1333" spans="1:11">
      <c r="A1333" s="141">
        <v>1333</v>
      </c>
      <c r="B1333" s="142">
        <v>43426</v>
      </c>
      <c r="C1333" s="149">
        <v>1.8999999999999986</v>
      </c>
      <c r="D1333" s="141">
        <v>14762.400000000011</v>
      </c>
      <c r="E1333" s="141"/>
      <c r="F1333" s="141"/>
      <c r="G1333" s="141"/>
      <c r="H1333" s="141"/>
      <c r="J1333" s="141">
        <f t="shared" si="41"/>
        <v>2.5150000000000001</v>
      </c>
      <c r="K1333" s="141">
        <f t="shared" si="42"/>
        <v>41192.400000000031</v>
      </c>
    </row>
    <row r="1334" spans="1:11">
      <c r="A1334" s="141">
        <v>1334</v>
      </c>
      <c r="B1334" s="142">
        <v>43427</v>
      </c>
      <c r="C1334" s="149">
        <v>3.8999999999999986</v>
      </c>
      <c r="D1334" s="141">
        <v>14766.30000000001</v>
      </c>
      <c r="E1334" s="141"/>
      <c r="F1334" s="141"/>
      <c r="G1334" s="141"/>
      <c r="H1334" s="141"/>
      <c r="J1334" s="141">
        <f t="shared" si="41"/>
        <v>2.2149999999999999</v>
      </c>
      <c r="K1334" s="141">
        <f t="shared" si="42"/>
        <v>41245.560000000034</v>
      </c>
    </row>
    <row r="1335" spans="1:11">
      <c r="A1335" s="141">
        <v>1335</v>
      </c>
      <c r="B1335" s="142">
        <v>43428</v>
      </c>
      <c r="C1335" s="149">
        <v>5.1999999999999993</v>
      </c>
      <c r="D1335" s="141">
        <v>14771.500000000011</v>
      </c>
      <c r="E1335" s="141"/>
      <c r="F1335" s="141"/>
      <c r="G1335" s="141"/>
      <c r="H1335" s="141"/>
      <c r="J1335" s="141">
        <f t="shared" si="41"/>
        <v>2.02</v>
      </c>
      <c r="K1335" s="141">
        <f t="shared" si="42"/>
        <v>41294.040000000037</v>
      </c>
    </row>
    <row r="1336" spans="1:11">
      <c r="A1336" s="141">
        <v>1336</v>
      </c>
      <c r="B1336" s="142">
        <v>43429</v>
      </c>
      <c r="C1336" s="149">
        <v>3.3000000000000007</v>
      </c>
      <c r="D1336" s="141">
        <v>14774.80000000001</v>
      </c>
      <c r="E1336" s="141"/>
      <c r="F1336" s="141"/>
      <c r="G1336" s="141"/>
      <c r="H1336" s="141"/>
      <c r="J1336" s="141">
        <f t="shared" si="41"/>
        <v>2.3050000000000002</v>
      </c>
      <c r="K1336" s="141">
        <f t="shared" si="42"/>
        <v>41349.360000000037</v>
      </c>
    </row>
    <row r="1337" spans="1:11">
      <c r="A1337" s="141">
        <v>1337</v>
      </c>
      <c r="B1337" s="142">
        <v>43430</v>
      </c>
      <c r="C1337" s="149">
        <v>2.8000000000000007</v>
      </c>
      <c r="D1337" s="141">
        <v>14777.600000000009</v>
      </c>
      <c r="E1337" s="141"/>
      <c r="F1337" s="141"/>
      <c r="G1337" s="141"/>
      <c r="H1337" s="141"/>
      <c r="J1337" s="141">
        <f t="shared" si="41"/>
        <v>2.38</v>
      </c>
      <c r="K1337" s="141">
        <f t="shared" si="42"/>
        <v>41406.48000000004</v>
      </c>
    </row>
    <row r="1338" spans="1:11">
      <c r="A1338" s="141">
        <v>1338</v>
      </c>
      <c r="B1338" s="142">
        <v>43431</v>
      </c>
      <c r="C1338" s="149">
        <v>-1.6000000000000014</v>
      </c>
      <c r="D1338" s="141">
        <v>14776.000000000009</v>
      </c>
      <c r="E1338" s="141"/>
      <c r="F1338" s="141"/>
      <c r="G1338" s="141"/>
      <c r="H1338" s="141"/>
      <c r="J1338" s="141">
        <f t="shared" si="41"/>
        <v>3.04</v>
      </c>
      <c r="K1338" s="141">
        <f t="shared" si="42"/>
        <v>41479.440000000039</v>
      </c>
    </row>
    <row r="1339" spans="1:11">
      <c r="A1339" s="141">
        <v>1339</v>
      </c>
      <c r="B1339" s="142">
        <v>43432</v>
      </c>
      <c r="C1339" s="149">
        <v>-3.7999999999999972</v>
      </c>
      <c r="D1339" s="141">
        <v>14772.20000000001</v>
      </c>
      <c r="E1339" s="141"/>
      <c r="F1339" s="141"/>
      <c r="G1339" s="141"/>
      <c r="H1339" s="141"/>
      <c r="J1339" s="141">
        <f t="shared" si="41"/>
        <v>3.3699999999999997</v>
      </c>
      <c r="K1339" s="141">
        <f t="shared" si="42"/>
        <v>41560.320000000036</v>
      </c>
    </row>
    <row r="1340" spans="1:11">
      <c r="A1340" s="141">
        <v>1340</v>
      </c>
      <c r="B1340" s="142">
        <v>43433</v>
      </c>
      <c r="C1340" s="149">
        <v>-3.6000000000000014</v>
      </c>
      <c r="D1340" s="141">
        <v>14768.600000000009</v>
      </c>
      <c r="E1340" s="141"/>
      <c r="F1340" s="141"/>
      <c r="G1340" s="141"/>
      <c r="H1340" s="141"/>
      <c r="J1340" s="141">
        <f t="shared" si="41"/>
        <v>3.3400000000000003</v>
      </c>
      <c r="K1340" s="141">
        <f t="shared" si="42"/>
        <v>41640.48000000004</v>
      </c>
    </row>
    <row r="1341" spans="1:11">
      <c r="A1341" s="141">
        <v>1341</v>
      </c>
      <c r="B1341" s="142">
        <v>43434</v>
      </c>
      <c r="C1341" s="149">
        <v>-2.2999999999999972</v>
      </c>
      <c r="D1341" s="141">
        <v>14766.30000000001</v>
      </c>
      <c r="E1341" s="141"/>
      <c r="F1341" s="141"/>
      <c r="G1341" s="141"/>
      <c r="H1341" s="141"/>
      <c r="J1341" s="141">
        <f t="shared" si="41"/>
        <v>3.145</v>
      </c>
      <c r="K1341" s="141">
        <f t="shared" si="42"/>
        <v>41715.960000000043</v>
      </c>
    </row>
    <row r="1342" spans="1:11">
      <c r="A1342" s="141">
        <v>1342</v>
      </c>
      <c r="B1342" s="142">
        <v>43435</v>
      </c>
      <c r="C1342" s="149">
        <v>-1.6999999999999993</v>
      </c>
      <c r="D1342" s="141">
        <v>14764.600000000009</v>
      </c>
      <c r="E1342" s="141"/>
      <c r="F1342" s="141"/>
      <c r="G1342" s="141"/>
      <c r="H1342" s="141"/>
      <c r="J1342" s="141">
        <f t="shared" si="41"/>
        <v>3.0549999999999997</v>
      </c>
      <c r="K1342" s="141">
        <f t="shared" si="42"/>
        <v>41789.280000000042</v>
      </c>
    </row>
    <row r="1343" spans="1:11">
      <c r="A1343" s="141">
        <v>1343</v>
      </c>
      <c r="B1343" s="142">
        <v>43436</v>
      </c>
      <c r="C1343" s="149">
        <v>0.80000000000000071</v>
      </c>
      <c r="D1343" s="141">
        <v>14765.400000000009</v>
      </c>
      <c r="E1343" s="141"/>
      <c r="F1343" s="141"/>
      <c r="G1343" s="141"/>
      <c r="H1343" s="141"/>
      <c r="J1343" s="141">
        <f t="shared" si="41"/>
        <v>2.6799999999999997</v>
      </c>
      <c r="K1343" s="141">
        <f t="shared" si="42"/>
        <v>41853.600000000042</v>
      </c>
    </row>
    <row r="1344" spans="1:11">
      <c r="A1344" s="141">
        <v>1344</v>
      </c>
      <c r="B1344" s="142">
        <v>43437</v>
      </c>
      <c r="C1344" s="149">
        <v>8.3999999999999986</v>
      </c>
      <c r="D1344" s="141">
        <v>14773.800000000008</v>
      </c>
      <c r="E1344" s="141"/>
      <c r="F1344" s="141"/>
      <c r="G1344" s="141"/>
      <c r="H1344" s="141"/>
      <c r="J1344" s="141">
        <f t="shared" si="41"/>
        <v>1.54</v>
      </c>
      <c r="K1344" s="141">
        <f t="shared" si="42"/>
        <v>41890.560000000041</v>
      </c>
    </row>
    <row r="1345" spans="1:11">
      <c r="A1345" s="141">
        <v>1345</v>
      </c>
      <c r="B1345" s="142">
        <v>43438</v>
      </c>
      <c r="C1345" s="149">
        <v>6.3999999999999986</v>
      </c>
      <c r="D1345" s="141">
        <v>14780.200000000008</v>
      </c>
      <c r="E1345" s="141"/>
      <c r="F1345" s="141"/>
      <c r="G1345" s="141"/>
      <c r="H1345" s="141"/>
      <c r="J1345" s="141">
        <f t="shared" si="41"/>
        <v>1.84</v>
      </c>
      <c r="K1345" s="141">
        <f t="shared" si="42"/>
        <v>41934.720000000045</v>
      </c>
    </row>
    <row r="1346" spans="1:11">
      <c r="A1346" s="141">
        <v>1346</v>
      </c>
      <c r="B1346" s="142">
        <v>43439</v>
      </c>
      <c r="C1346" s="149">
        <v>0.60000000000000142</v>
      </c>
      <c r="D1346" s="141">
        <v>14780.800000000008</v>
      </c>
      <c r="E1346" s="141"/>
      <c r="F1346" s="141"/>
      <c r="G1346" s="141"/>
      <c r="H1346" s="141"/>
      <c r="J1346" s="141">
        <f t="shared" si="41"/>
        <v>2.71</v>
      </c>
      <c r="K1346" s="141">
        <f t="shared" si="42"/>
        <v>41999.760000000046</v>
      </c>
    </row>
    <row r="1347" spans="1:11">
      <c r="A1347" s="141">
        <v>1347</v>
      </c>
      <c r="B1347" s="142">
        <v>43440</v>
      </c>
      <c r="C1347" s="149">
        <v>1</v>
      </c>
      <c r="D1347" s="141">
        <v>14781.800000000008</v>
      </c>
      <c r="E1347" s="141"/>
      <c r="F1347" s="141"/>
      <c r="G1347" s="141"/>
      <c r="H1347" s="141"/>
      <c r="J1347" s="141">
        <f t="shared" si="41"/>
        <v>2.65</v>
      </c>
      <c r="K1347" s="141">
        <f t="shared" si="42"/>
        <v>42063.360000000044</v>
      </c>
    </row>
    <row r="1348" spans="1:11">
      <c r="A1348" s="141">
        <v>1348</v>
      </c>
      <c r="B1348" s="142">
        <v>43441</v>
      </c>
      <c r="C1348" s="149">
        <v>8.8000000000000007</v>
      </c>
      <c r="D1348" s="141">
        <v>14790.600000000008</v>
      </c>
      <c r="E1348" s="141"/>
      <c r="F1348" s="141"/>
      <c r="G1348" s="141"/>
      <c r="H1348" s="141"/>
      <c r="J1348" s="141">
        <f t="shared" si="41"/>
        <v>1.48</v>
      </c>
      <c r="K1348" s="141">
        <f t="shared" si="42"/>
        <v>42098.880000000041</v>
      </c>
    </row>
    <row r="1349" spans="1:11">
      <c r="A1349" s="141">
        <v>1349</v>
      </c>
      <c r="B1349" s="142">
        <v>43442</v>
      </c>
      <c r="C1349" s="149">
        <v>6.8000000000000007</v>
      </c>
      <c r="D1349" s="141">
        <v>14797.400000000007</v>
      </c>
      <c r="E1349" s="141"/>
      <c r="F1349" s="141"/>
      <c r="G1349" s="141"/>
      <c r="H1349" s="141"/>
      <c r="J1349" s="141">
        <f t="shared" si="41"/>
        <v>1.78</v>
      </c>
      <c r="K1349" s="141">
        <f t="shared" si="42"/>
        <v>42141.600000000042</v>
      </c>
    </row>
    <row r="1350" spans="1:11">
      <c r="A1350" s="141">
        <v>1350</v>
      </c>
      <c r="B1350" s="142">
        <v>43443</v>
      </c>
      <c r="C1350" s="149">
        <v>7.3999999999999986</v>
      </c>
      <c r="D1350" s="141">
        <v>14804.800000000007</v>
      </c>
      <c r="E1350" s="141"/>
      <c r="F1350" s="141"/>
      <c r="G1350" s="141"/>
      <c r="H1350" s="141"/>
      <c r="J1350" s="141">
        <f t="shared" si="41"/>
        <v>1.6900000000000002</v>
      </c>
      <c r="K1350" s="141">
        <f t="shared" si="42"/>
        <v>42182.16000000004</v>
      </c>
    </row>
    <row r="1351" spans="1:11">
      <c r="A1351" s="141">
        <v>1351</v>
      </c>
      <c r="B1351" s="142">
        <v>43444</v>
      </c>
      <c r="C1351" s="149">
        <v>3.6999999999999993</v>
      </c>
      <c r="D1351" s="141">
        <v>14808.500000000007</v>
      </c>
      <c r="E1351" s="141"/>
      <c r="F1351" s="141"/>
      <c r="G1351" s="141"/>
      <c r="H1351" s="141"/>
      <c r="J1351" s="141">
        <f t="shared" ref="J1351:J1414" si="43">J$1+(IF(J$3-$C1351&gt;0,J$3-$C1351,0)*J$2/30)</f>
        <v>2.2450000000000001</v>
      </c>
      <c r="K1351" s="141">
        <f t="shared" ref="K1351:K1414" si="44">K1350+J1351*24</f>
        <v>42236.040000000037</v>
      </c>
    </row>
    <row r="1352" spans="1:11">
      <c r="A1352" s="141">
        <v>1352</v>
      </c>
      <c r="B1352" s="142">
        <v>43445</v>
      </c>
      <c r="C1352" s="149">
        <v>2.3000000000000007</v>
      </c>
      <c r="D1352" s="141">
        <v>14810.800000000007</v>
      </c>
      <c r="E1352" s="141"/>
      <c r="F1352" s="141"/>
      <c r="G1352" s="141"/>
      <c r="H1352" s="141"/>
      <c r="J1352" s="141">
        <f t="shared" si="43"/>
        <v>2.4549999999999996</v>
      </c>
      <c r="K1352" s="141">
        <f t="shared" si="44"/>
        <v>42294.960000000036</v>
      </c>
    </row>
    <row r="1353" spans="1:11">
      <c r="A1353" s="141">
        <v>1353</v>
      </c>
      <c r="B1353" s="142">
        <v>43446</v>
      </c>
      <c r="C1353" s="149">
        <v>1.1000000000000014</v>
      </c>
      <c r="D1353" s="141">
        <v>14811.900000000007</v>
      </c>
      <c r="E1353" s="141"/>
      <c r="F1353" s="141"/>
      <c r="G1353" s="141"/>
      <c r="H1353" s="141"/>
      <c r="J1353" s="141">
        <f t="shared" si="43"/>
        <v>2.6349999999999998</v>
      </c>
      <c r="K1353" s="141">
        <f t="shared" si="44"/>
        <v>42358.200000000033</v>
      </c>
    </row>
    <row r="1354" spans="1:11">
      <c r="A1354" s="141">
        <v>1354</v>
      </c>
      <c r="B1354" s="142">
        <v>43447</v>
      </c>
      <c r="C1354" s="149">
        <v>-2.5</v>
      </c>
      <c r="D1354" s="141">
        <v>14809.400000000007</v>
      </c>
      <c r="E1354" s="141"/>
      <c r="F1354" s="141"/>
      <c r="G1354" s="141"/>
      <c r="H1354" s="141"/>
      <c r="J1354" s="141">
        <f t="shared" si="43"/>
        <v>3.1749999999999998</v>
      </c>
      <c r="K1354" s="141">
        <f t="shared" si="44"/>
        <v>42434.400000000031</v>
      </c>
    </row>
    <row r="1355" spans="1:11">
      <c r="A1355" s="141">
        <v>1355</v>
      </c>
      <c r="B1355" s="142">
        <v>43448</v>
      </c>
      <c r="C1355" s="149">
        <v>-2.5</v>
      </c>
      <c r="D1355" s="141">
        <v>14806.900000000007</v>
      </c>
      <c r="E1355" s="141"/>
      <c r="F1355" s="141"/>
      <c r="G1355" s="141"/>
      <c r="H1355" s="141"/>
      <c r="J1355" s="141">
        <f t="shared" si="43"/>
        <v>3.1749999999999998</v>
      </c>
      <c r="K1355" s="141">
        <f t="shared" si="44"/>
        <v>42510.600000000028</v>
      </c>
    </row>
    <row r="1356" spans="1:11">
      <c r="A1356" s="141">
        <v>1356</v>
      </c>
      <c r="B1356" s="142">
        <v>43449</v>
      </c>
      <c r="C1356" s="149">
        <v>-1.6000000000000014</v>
      </c>
      <c r="D1356" s="141">
        <v>14805.300000000007</v>
      </c>
      <c r="E1356" s="141"/>
      <c r="F1356" s="141"/>
      <c r="G1356" s="141"/>
      <c r="H1356" s="141"/>
      <c r="J1356" s="141">
        <f t="shared" si="43"/>
        <v>3.04</v>
      </c>
      <c r="K1356" s="141">
        <f t="shared" si="44"/>
        <v>42583.560000000027</v>
      </c>
    </row>
    <row r="1357" spans="1:11">
      <c r="A1357" s="141">
        <v>1357</v>
      </c>
      <c r="B1357" s="142">
        <v>43450</v>
      </c>
      <c r="C1357" s="149">
        <v>-2.5</v>
      </c>
      <c r="D1357" s="141">
        <v>14802.800000000007</v>
      </c>
      <c r="E1357" s="141"/>
      <c r="F1357" s="141"/>
      <c r="G1357" s="141"/>
      <c r="H1357" s="141"/>
      <c r="J1357" s="141">
        <f t="shared" si="43"/>
        <v>3.1749999999999998</v>
      </c>
      <c r="K1357" s="141">
        <f t="shared" si="44"/>
        <v>42659.760000000024</v>
      </c>
    </row>
    <row r="1358" spans="1:11">
      <c r="A1358" s="141">
        <v>1358</v>
      </c>
      <c r="B1358" s="142">
        <v>43451</v>
      </c>
      <c r="C1358" s="149">
        <v>0.80000000000000071</v>
      </c>
      <c r="D1358" s="141">
        <v>14803.600000000006</v>
      </c>
      <c r="E1358" s="141"/>
      <c r="F1358" s="141"/>
      <c r="G1358" s="141"/>
      <c r="H1358" s="141"/>
      <c r="J1358" s="141">
        <f t="shared" si="43"/>
        <v>2.6799999999999997</v>
      </c>
      <c r="K1358" s="141">
        <f t="shared" si="44"/>
        <v>42724.080000000024</v>
      </c>
    </row>
    <row r="1359" spans="1:11">
      <c r="A1359" s="141">
        <v>1359</v>
      </c>
      <c r="B1359" s="142">
        <v>43452</v>
      </c>
      <c r="C1359" s="149">
        <v>1.6000000000000014</v>
      </c>
      <c r="D1359" s="141">
        <v>14805.200000000006</v>
      </c>
      <c r="E1359" s="141"/>
      <c r="F1359" s="141"/>
      <c r="G1359" s="141"/>
      <c r="H1359" s="141"/>
      <c r="J1359" s="141">
        <f t="shared" si="43"/>
        <v>2.56</v>
      </c>
      <c r="K1359" s="141">
        <f t="shared" si="44"/>
        <v>42785.520000000026</v>
      </c>
    </row>
    <row r="1360" spans="1:11">
      <c r="A1360" s="141">
        <v>1360</v>
      </c>
      <c r="B1360" s="142">
        <v>43453</v>
      </c>
      <c r="C1360" s="149">
        <v>0.10000000000000142</v>
      </c>
      <c r="D1360" s="141">
        <v>14805.300000000007</v>
      </c>
      <c r="E1360" s="141"/>
      <c r="F1360" s="141"/>
      <c r="G1360" s="141"/>
      <c r="H1360" s="141"/>
      <c r="J1360" s="141">
        <f t="shared" si="43"/>
        <v>2.7849999999999997</v>
      </c>
      <c r="K1360" s="141">
        <f t="shared" si="44"/>
        <v>42852.360000000022</v>
      </c>
    </row>
    <row r="1361" spans="1:11">
      <c r="A1361" s="141">
        <v>1361</v>
      </c>
      <c r="B1361" s="142">
        <v>43454</v>
      </c>
      <c r="C1361" s="149">
        <v>0.80000000000000071</v>
      </c>
      <c r="D1361" s="141">
        <v>14806.100000000006</v>
      </c>
      <c r="E1361" s="141"/>
      <c r="F1361" s="141"/>
      <c r="G1361" s="141"/>
      <c r="H1361" s="141"/>
      <c r="J1361" s="141">
        <f t="shared" si="43"/>
        <v>2.6799999999999997</v>
      </c>
      <c r="K1361" s="141">
        <f t="shared" si="44"/>
        <v>42916.680000000022</v>
      </c>
    </row>
    <row r="1362" spans="1:11">
      <c r="A1362" s="141">
        <v>1362</v>
      </c>
      <c r="B1362" s="142">
        <v>43455</v>
      </c>
      <c r="C1362" s="149">
        <v>5.8999999999999986</v>
      </c>
      <c r="D1362" s="141">
        <v>14812.000000000005</v>
      </c>
      <c r="E1362" s="141"/>
      <c r="F1362" s="141"/>
      <c r="G1362" s="141"/>
      <c r="H1362" s="141"/>
      <c r="J1362" s="141">
        <f t="shared" si="43"/>
        <v>1.915</v>
      </c>
      <c r="K1362" s="141">
        <f t="shared" si="44"/>
        <v>42962.640000000021</v>
      </c>
    </row>
    <row r="1363" spans="1:11">
      <c r="A1363" s="141">
        <v>1363</v>
      </c>
      <c r="B1363" s="142">
        <v>43456</v>
      </c>
      <c r="C1363" s="149">
        <v>9.3000000000000007</v>
      </c>
      <c r="D1363" s="141">
        <v>14821.300000000005</v>
      </c>
      <c r="E1363" s="141"/>
      <c r="F1363" s="141"/>
      <c r="G1363" s="141"/>
      <c r="H1363" s="141"/>
      <c r="J1363" s="141">
        <f t="shared" si="43"/>
        <v>1.405</v>
      </c>
      <c r="K1363" s="141">
        <f t="shared" si="44"/>
        <v>42996.360000000022</v>
      </c>
    </row>
    <row r="1364" spans="1:11">
      <c r="A1364" s="141">
        <v>1364</v>
      </c>
      <c r="B1364" s="142">
        <v>43457</v>
      </c>
      <c r="C1364" s="149">
        <v>6.6000000000000014</v>
      </c>
      <c r="D1364" s="141">
        <v>14827.900000000005</v>
      </c>
      <c r="E1364" s="141"/>
      <c r="F1364" s="141"/>
      <c r="G1364" s="141"/>
      <c r="H1364" s="141"/>
      <c r="J1364" s="141">
        <f t="shared" si="43"/>
        <v>1.8099999999999998</v>
      </c>
      <c r="K1364" s="141">
        <f t="shared" si="44"/>
        <v>43039.800000000025</v>
      </c>
    </row>
    <row r="1365" spans="1:11">
      <c r="A1365" s="141">
        <v>1365</v>
      </c>
      <c r="B1365" s="142">
        <v>43458</v>
      </c>
      <c r="C1365" s="149">
        <v>2.3000000000000007</v>
      </c>
      <c r="D1365" s="141">
        <v>14830.200000000004</v>
      </c>
      <c r="E1365" s="141"/>
      <c r="F1365" s="141"/>
      <c r="G1365" s="141"/>
      <c r="H1365" s="141"/>
      <c r="J1365" s="141">
        <f t="shared" si="43"/>
        <v>2.4549999999999996</v>
      </c>
      <c r="K1365" s="141">
        <f t="shared" si="44"/>
        <v>43098.720000000023</v>
      </c>
    </row>
    <row r="1366" spans="1:11">
      <c r="A1366" s="141">
        <v>1366</v>
      </c>
      <c r="B1366" s="142">
        <v>43459</v>
      </c>
      <c r="C1366" s="149">
        <v>2.8999999999999986</v>
      </c>
      <c r="D1366" s="141">
        <v>14833.100000000004</v>
      </c>
      <c r="E1366" s="141"/>
      <c r="F1366" s="141"/>
      <c r="G1366" s="141"/>
      <c r="H1366" s="141"/>
      <c r="J1366" s="141">
        <f t="shared" si="43"/>
        <v>2.3650000000000002</v>
      </c>
      <c r="K1366" s="141">
        <f t="shared" si="44"/>
        <v>43155.480000000025</v>
      </c>
    </row>
    <row r="1367" spans="1:11">
      <c r="A1367" s="141">
        <v>1367</v>
      </c>
      <c r="B1367" s="142">
        <v>43460</v>
      </c>
      <c r="C1367" s="149">
        <v>3.1999999999999993</v>
      </c>
      <c r="D1367" s="141">
        <v>14836.300000000005</v>
      </c>
      <c r="E1367" s="141"/>
      <c r="F1367" s="141"/>
      <c r="G1367" s="141"/>
      <c r="H1367" s="141"/>
      <c r="J1367" s="141">
        <f t="shared" si="43"/>
        <v>2.3199999999999998</v>
      </c>
      <c r="K1367" s="141">
        <f t="shared" si="44"/>
        <v>43211.160000000025</v>
      </c>
    </row>
    <row r="1368" spans="1:11">
      <c r="A1368" s="141">
        <v>1368</v>
      </c>
      <c r="B1368" s="142">
        <v>43461</v>
      </c>
      <c r="C1368" s="149">
        <v>4.8000000000000007</v>
      </c>
      <c r="D1368" s="141">
        <v>14841.100000000004</v>
      </c>
      <c r="E1368" s="141"/>
      <c r="F1368" s="141"/>
      <c r="G1368" s="141"/>
      <c r="H1368" s="141"/>
      <c r="J1368" s="141">
        <f t="shared" si="43"/>
        <v>2.08</v>
      </c>
      <c r="K1368" s="141">
        <f t="shared" si="44"/>
        <v>43261.080000000024</v>
      </c>
    </row>
    <row r="1369" spans="1:11">
      <c r="A1369" s="141">
        <v>1369</v>
      </c>
      <c r="B1369" s="142">
        <v>43462</v>
      </c>
      <c r="C1369" s="149">
        <v>4.3999999999999986</v>
      </c>
      <c r="D1369" s="141">
        <v>14845.500000000004</v>
      </c>
      <c r="E1369" s="141"/>
      <c r="F1369" s="141"/>
      <c r="G1369" s="141"/>
      <c r="H1369" s="141"/>
      <c r="J1369" s="141">
        <f t="shared" si="43"/>
        <v>2.14</v>
      </c>
      <c r="K1369" s="141">
        <f t="shared" si="44"/>
        <v>43312.440000000024</v>
      </c>
    </row>
    <row r="1370" spans="1:11">
      <c r="A1370" s="141">
        <v>1370</v>
      </c>
      <c r="B1370" s="142">
        <v>43463</v>
      </c>
      <c r="C1370" s="149">
        <v>3.8000000000000007</v>
      </c>
      <c r="D1370" s="141">
        <v>14849.300000000003</v>
      </c>
      <c r="E1370" s="141"/>
      <c r="F1370" s="141"/>
      <c r="G1370" s="141"/>
      <c r="H1370" s="141"/>
      <c r="J1370" s="141">
        <f t="shared" si="43"/>
        <v>2.23</v>
      </c>
      <c r="K1370" s="141">
        <f t="shared" si="44"/>
        <v>43365.960000000021</v>
      </c>
    </row>
    <row r="1371" spans="1:11">
      <c r="A1371" s="141">
        <v>1371</v>
      </c>
      <c r="B1371" s="142">
        <v>43464</v>
      </c>
      <c r="C1371" s="149">
        <v>4.8000000000000007</v>
      </c>
      <c r="D1371" s="141">
        <v>14854.100000000002</v>
      </c>
      <c r="E1371" s="141"/>
      <c r="F1371" s="141"/>
      <c r="G1371" s="141"/>
      <c r="H1371" s="141"/>
      <c r="J1371" s="141">
        <f t="shared" si="43"/>
        <v>2.08</v>
      </c>
      <c r="K1371" s="141">
        <f t="shared" si="44"/>
        <v>43415.880000000019</v>
      </c>
    </row>
    <row r="1372" spans="1:11">
      <c r="A1372" s="141">
        <v>1372</v>
      </c>
      <c r="B1372" s="142">
        <v>43465</v>
      </c>
      <c r="C1372" s="149">
        <v>4.6000000000000014</v>
      </c>
      <c r="D1372" s="141">
        <v>14858.700000000003</v>
      </c>
      <c r="E1372" s="141"/>
      <c r="F1372" s="141"/>
      <c r="G1372" s="141"/>
      <c r="H1372" s="141"/>
      <c r="J1372" s="141">
        <f t="shared" si="43"/>
        <v>2.11</v>
      </c>
      <c r="K1372" s="141">
        <f t="shared" si="44"/>
        <v>43466.520000000019</v>
      </c>
    </row>
    <row r="1373" spans="1:11">
      <c r="A1373" s="141">
        <v>1373</v>
      </c>
      <c r="B1373" s="142">
        <v>43466</v>
      </c>
      <c r="C1373" s="149">
        <v>6</v>
      </c>
      <c r="D1373" s="141">
        <v>14864.700000000003</v>
      </c>
      <c r="E1373" s="141"/>
      <c r="F1373" s="141"/>
      <c r="G1373" s="141"/>
      <c r="H1373" s="141"/>
      <c r="J1373" s="141">
        <f t="shared" si="43"/>
        <v>1.9</v>
      </c>
      <c r="K1373" s="141">
        <f t="shared" si="44"/>
        <v>43512.120000000017</v>
      </c>
    </row>
    <row r="1374" spans="1:11">
      <c r="A1374" s="141">
        <v>1374</v>
      </c>
      <c r="B1374" s="142">
        <v>43467</v>
      </c>
      <c r="C1374" s="149">
        <v>0.60000000000000142</v>
      </c>
      <c r="D1374" s="141">
        <v>14865.300000000003</v>
      </c>
      <c r="E1374" s="141"/>
      <c r="F1374" s="141"/>
      <c r="G1374" s="141"/>
      <c r="H1374" s="141"/>
      <c r="J1374" s="141">
        <f t="shared" si="43"/>
        <v>2.71</v>
      </c>
      <c r="K1374" s="141">
        <f t="shared" si="44"/>
        <v>43577.160000000018</v>
      </c>
    </row>
    <row r="1375" spans="1:11">
      <c r="A1375" s="141">
        <v>1375</v>
      </c>
      <c r="B1375" s="142">
        <v>43468</v>
      </c>
      <c r="C1375" s="149">
        <v>-2.2000000000000028</v>
      </c>
      <c r="D1375" s="141">
        <v>14863.100000000002</v>
      </c>
      <c r="E1375" s="141"/>
      <c r="F1375" s="141"/>
      <c r="G1375" s="141"/>
      <c r="H1375" s="141"/>
      <c r="J1375" s="141">
        <f t="shared" si="43"/>
        <v>3.1300000000000003</v>
      </c>
      <c r="K1375" s="141">
        <f t="shared" si="44"/>
        <v>43652.280000000021</v>
      </c>
    </row>
    <row r="1376" spans="1:11">
      <c r="A1376" s="141">
        <v>1376</v>
      </c>
      <c r="B1376" s="142">
        <v>43469</v>
      </c>
      <c r="C1376" s="149">
        <v>-1.3999999999999986</v>
      </c>
      <c r="D1376" s="141">
        <v>14861.700000000003</v>
      </c>
      <c r="E1376" s="141"/>
      <c r="F1376" s="141"/>
      <c r="G1376" s="141"/>
      <c r="H1376" s="141"/>
      <c r="J1376" s="141">
        <f t="shared" si="43"/>
        <v>3.01</v>
      </c>
      <c r="K1376" s="141">
        <f t="shared" si="44"/>
        <v>43724.520000000019</v>
      </c>
    </row>
    <row r="1377" spans="1:11">
      <c r="A1377" s="141">
        <v>1377</v>
      </c>
      <c r="B1377" s="142">
        <v>43470</v>
      </c>
      <c r="C1377" s="149">
        <v>4.3000000000000007</v>
      </c>
      <c r="D1377" s="141">
        <v>14866.000000000002</v>
      </c>
      <c r="E1377" s="141"/>
      <c r="F1377" s="141"/>
      <c r="G1377" s="141"/>
      <c r="H1377" s="141"/>
      <c r="J1377" s="141">
        <f t="shared" si="43"/>
        <v>2.1550000000000002</v>
      </c>
      <c r="K1377" s="141">
        <f t="shared" si="44"/>
        <v>43776.24000000002</v>
      </c>
    </row>
    <row r="1378" spans="1:11">
      <c r="A1378" s="141">
        <v>1378</v>
      </c>
      <c r="B1378" s="142">
        <v>43471</v>
      </c>
      <c r="C1378" s="149">
        <v>0.89999999999999858</v>
      </c>
      <c r="D1378" s="141">
        <v>14866.900000000001</v>
      </c>
      <c r="E1378" s="141"/>
      <c r="F1378" s="141"/>
      <c r="G1378" s="141"/>
      <c r="H1378" s="141"/>
      <c r="J1378" s="141">
        <f t="shared" si="43"/>
        <v>2.665</v>
      </c>
      <c r="K1378" s="141">
        <f t="shared" si="44"/>
        <v>43840.200000000019</v>
      </c>
    </row>
    <row r="1379" spans="1:11">
      <c r="A1379" s="141">
        <v>1379</v>
      </c>
      <c r="B1379" s="142">
        <v>43472</v>
      </c>
      <c r="C1379" s="149">
        <v>1</v>
      </c>
      <c r="D1379" s="141">
        <v>14867.900000000001</v>
      </c>
      <c r="E1379" s="141"/>
      <c r="F1379" s="141"/>
      <c r="G1379" s="141"/>
      <c r="H1379" s="141"/>
      <c r="J1379" s="141">
        <f t="shared" si="43"/>
        <v>2.65</v>
      </c>
      <c r="K1379" s="141">
        <f t="shared" si="44"/>
        <v>43903.800000000017</v>
      </c>
    </row>
    <row r="1380" spans="1:11">
      <c r="A1380" s="141">
        <v>1380</v>
      </c>
      <c r="B1380" s="142">
        <v>43473</v>
      </c>
      <c r="C1380" s="149">
        <v>3.6000000000000014</v>
      </c>
      <c r="D1380" s="141">
        <v>14871.500000000002</v>
      </c>
      <c r="E1380" s="141"/>
      <c r="F1380" s="141"/>
      <c r="G1380" s="141"/>
      <c r="H1380" s="141"/>
      <c r="J1380" s="141">
        <f t="shared" si="43"/>
        <v>2.2599999999999998</v>
      </c>
      <c r="K1380" s="141">
        <f t="shared" si="44"/>
        <v>43958.040000000015</v>
      </c>
    </row>
    <row r="1381" spans="1:11">
      <c r="A1381" s="141">
        <v>1381</v>
      </c>
      <c r="B1381" s="142">
        <v>43474</v>
      </c>
      <c r="C1381" s="149">
        <v>1.1000000000000014</v>
      </c>
      <c r="D1381" s="141">
        <v>14872.600000000002</v>
      </c>
      <c r="E1381" s="141"/>
      <c r="F1381" s="141"/>
      <c r="G1381" s="141"/>
      <c r="H1381" s="141"/>
      <c r="J1381" s="141">
        <f t="shared" si="43"/>
        <v>2.6349999999999998</v>
      </c>
      <c r="K1381" s="141">
        <f t="shared" si="44"/>
        <v>44021.280000000013</v>
      </c>
    </row>
    <row r="1382" spans="1:11">
      <c r="A1382" s="141">
        <v>1382</v>
      </c>
      <c r="B1382" s="142">
        <v>43475</v>
      </c>
      <c r="C1382" s="149">
        <v>0.19999999999999929</v>
      </c>
      <c r="D1382" s="141">
        <v>14872.800000000003</v>
      </c>
      <c r="E1382" s="141"/>
      <c r="F1382" s="141"/>
      <c r="G1382" s="141"/>
      <c r="H1382" s="141"/>
      <c r="J1382" s="141">
        <f t="shared" si="43"/>
        <v>2.7700000000000005</v>
      </c>
      <c r="K1382" s="141">
        <f t="shared" si="44"/>
        <v>44087.760000000017</v>
      </c>
    </row>
    <row r="1383" spans="1:11">
      <c r="A1383" s="141">
        <v>1383</v>
      </c>
      <c r="B1383" s="142">
        <v>43476</v>
      </c>
      <c r="C1383" s="149">
        <v>-2.5</v>
      </c>
      <c r="D1383" s="141">
        <v>14870.300000000003</v>
      </c>
      <c r="E1383" s="141"/>
      <c r="F1383" s="141"/>
      <c r="G1383" s="141"/>
      <c r="H1383" s="141"/>
      <c r="J1383" s="141">
        <f t="shared" si="43"/>
        <v>3.1749999999999998</v>
      </c>
      <c r="K1383" s="141">
        <f t="shared" si="44"/>
        <v>44163.960000000014</v>
      </c>
    </row>
    <row r="1384" spans="1:11">
      <c r="A1384" s="141">
        <v>1384</v>
      </c>
      <c r="B1384" s="142">
        <v>43477</v>
      </c>
      <c r="C1384" s="149">
        <v>2.5</v>
      </c>
      <c r="D1384" s="141">
        <v>14872.800000000003</v>
      </c>
      <c r="E1384" s="141"/>
      <c r="F1384" s="141"/>
      <c r="G1384" s="141"/>
      <c r="H1384" s="141"/>
      <c r="J1384" s="141">
        <f t="shared" si="43"/>
        <v>2.4249999999999998</v>
      </c>
      <c r="K1384" s="141">
        <f t="shared" si="44"/>
        <v>44222.160000000011</v>
      </c>
    </row>
    <row r="1385" spans="1:11">
      <c r="A1385" s="141">
        <v>1385</v>
      </c>
      <c r="B1385" s="142">
        <v>43478</v>
      </c>
      <c r="C1385" s="149">
        <v>4.3000000000000007</v>
      </c>
      <c r="D1385" s="141">
        <v>14877.100000000002</v>
      </c>
      <c r="E1385" s="141"/>
      <c r="F1385" s="141"/>
      <c r="G1385" s="141"/>
      <c r="H1385" s="141"/>
      <c r="J1385" s="141">
        <f t="shared" si="43"/>
        <v>2.1550000000000002</v>
      </c>
      <c r="K1385" s="141">
        <f t="shared" si="44"/>
        <v>44273.880000000012</v>
      </c>
    </row>
    <row r="1386" spans="1:11">
      <c r="A1386" s="141">
        <v>1386</v>
      </c>
      <c r="B1386" s="142">
        <v>43479</v>
      </c>
      <c r="C1386" s="149">
        <v>2.1999999999999993</v>
      </c>
      <c r="D1386" s="141">
        <v>14879.300000000003</v>
      </c>
      <c r="E1386" s="141"/>
      <c r="F1386" s="141"/>
      <c r="G1386" s="141"/>
      <c r="H1386" s="141"/>
      <c r="J1386" s="141">
        <f t="shared" si="43"/>
        <v>2.4700000000000002</v>
      </c>
      <c r="K1386" s="141">
        <f t="shared" si="44"/>
        <v>44333.160000000011</v>
      </c>
    </row>
    <row r="1387" spans="1:11">
      <c r="A1387" s="141">
        <v>1387</v>
      </c>
      <c r="B1387" s="142">
        <v>43480</v>
      </c>
      <c r="C1387" s="149">
        <v>2.1999999999999993</v>
      </c>
      <c r="D1387" s="141">
        <v>14881.500000000004</v>
      </c>
      <c r="E1387" s="141"/>
      <c r="F1387" s="141"/>
      <c r="G1387" s="141"/>
      <c r="H1387" s="141"/>
      <c r="J1387" s="141">
        <f t="shared" si="43"/>
        <v>2.4700000000000002</v>
      </c>
      <c r="K1387" s="141">
        <f t="shared" si="44"/>
        <v>44392.44000000001</v>
      </c>
    </row>
    <row r="1388" spans="1:11">
      <c r="A1388" s="141">
        <v>1388</v>
      </c>
      <c r="B1388" s="142">
        <v>43481</v>
      </c>
      <c r="C1388" s="149">
        <v>4.1000000000000014</v>
      </c>
      <c r="D1388" s="141">
        <v>14885.600000000004</v>
      </c>
      <c r="E1388" s="141"/>
      <c r="F1388" s="141"/>
      <c r="G1388" s="141"/>
      <c r="H1388" s="141"/>
      <c r="J1388" s="141">
        <f t="shared" si="43"/>
        <v>2.1849999999999996</v>
      </c>
      <c r="K1388" s="141">
        <f t="shared" si="44"/>
        <v>44444.880000000012</v>
      </c>
    </row>
    <row r="1389" spans="1:11">
      <c r="A1389" s="141">
        <v>1389</v>
      </c>
      <c r="B1389" s="142">
        <v>43482</v>
      </c>
      <c r="C1389" s="149">
        <v>5.3999999999999986</v>
      </c>
      <c r="D1389" s="141">
        <v>14891.000000000004</v>
      </c>
      <c r="E1389" s="141"/>
      <c r="F1389" s="141"/>
      <c r="G1389" s="141"/>
      <c r="H1389" s="141"/>
      <c r="J1389" s="141">
        <f t="shared" si="43"/>
        <v>1.99</v>
      </c>
      <c r="K1389" s="141">
        <f t="shared" si="44"/>
        <v>44492.640000000014</v>
      </c>
    </row>
    <row r="1390" spans="1:11">
      <c r="A1390" s="141">
        <v>1390</v>
      </c>
      <c r="B1390" s="142">
        <v>43483</v>
      </c>
      <c r="C1390" s="149">
        <v>-0.89999999999999858</v>
      </c>
      <c r="D1390" s="141">
        <v>14890.100000000004</v>
      </c>
      <c r="E1390" s="141"/>
      <c r="F1390" s="141"/>
      <c r="G1390" s="141"/>
      <c r="H1390" s="141"/>
      <c r="J1390" s="141">
        <f t="shared" si="43"/>
        <v>2.9350000000000001</v>
      </c>
      <c r="K1390" s="141">
        <f t="shared" si="44"/>
        <v>44563.080000000016</v>
      </c>
    </row>
    <row r="1391" spans="1:11">
      <c r="A1391" s="141">
        <v>1391</v>
      </c>
      <c r="B1391" s="142">
        <v>43484</v>
      </c>
      <c r="C1391" s="149">
        <v>-4.7000000000000028</v>
      </c>
      <c r="D1391" s="141">
        <v>14885.400000000003</v>
      </c>
      <c r="E1391" s="141"/>
      <c r="F1391" s="141"/>
      <c r="G1391" s="141"/>
      <c r="H1391" s="141"/>
      <c r="J1391" s="141">
        <f t="shared" si="43"/>
        <v>3.5050000000000003</v>
      </c>
      <c r="K1391" s="141">
        <f t="shared" si="44"/>
        <v>44647.200000000019</v>
      </c>
    </row>
    <row r="1392" spans="1:11">
      <c r="A1392" s="141">
        <v>1392</v>
      </c>
      <c r="B1392" s="142">
        <v>43485</v>
      </c>
      <c r="C1392" s="149">
        <v>-3.2000000000000028</v>
      </c>
      <c r="D1392" s="141">
        <v>14882.200000000003</v>
      </c>
      <c r="E1392" s="141"/>
      <c r="F1392" s="141"/>
      <c r="G1392" s="141"/>
      <c r="H1392" s="141"/>
      <c r="J1392" s="141">
        <f t="shared" si="43"/>
        <v>3.2800000000000002</v>
      </c>
      <c r="K1392" s="141">
        <f t="shared" si="44"/>
        <v>44725.92000000002</v>
      </c>
    </row>
    <row r="1393" spans="1:11">
      <c r="A1393" s="141">
        <v>1393</v>
      </c>
      <c r="B1393" s="142">
        <v>43486</v>
      </c>
      <c r="C1393" s="149">
        <v>-5.2000000000000028</v>
      </c>
      <c r="D1393" s="141">
        <v>14877.000000000002</v>
      </c>
      <c r="E1393" s="141"/>
      <c r="F1393" s="141"/>
      <c r="G1393" s="141"/>
      <c r="H1393" s="141"/>
      <c r="J1393" s="141">
        <f t="shared" si="43"/>
        <v>3.58</v>
      </c>
      <c r="K1393" s="141">
        <f t="shared" si="44"/>
        <v>44811.840000000018</v>
      </c>
    </row>
    <row r="1394" spans="1:11">
      <c r="A1394" s="141">
        <v>1394</v>
      </c>
      <c r="B1394" s="142">
        <v>43487</v>
      </c>
      <c r="C1394" s="149">
        <v>-5.6000000000000014</v>
      </c>
      <c r="D1394" s="141">
        <v>14871.400000000001</v>
      </c>
      <c r="E1394" s="141"/>
      <c r="F1394" s="141"/>
      <c r="G1394" s="141"/>
      <c r="H1394" s="141"/>
      <c r="J1394" s="141">
        <f t="shared" si="43"/>
        <v>3.64</v>
      </c>
      <c r="K1394" s="141">
        <f t="shared" si="44"/>
        <v>44899.200000000019</v>
      </c>
    </row>
    <row r="1395" spans="1:11">
      <c r="A1395" s="141">
        <v>1395</v>
      </c>
      <c r="B1395" s="142">
        <v>43488</v>
      </c>
      <c r="C1395" s="149">
        <v>-6.3999999999999986</v>
      </c>
      <c r="D1395" s="141">
        <v>14865.000000000002</v>
      </c>
      <c r="E1395" s="141"/>
      <c r="F1395" s="141"/>
      <c r="G1395" s="141"/>
      <c r="H1395" s="141"/>
      <c r="J1395" s="141">
        <f t="shared" si="43"/>
        <v>3.76</v>
      </c>
      <c r="K1395" s="141">
        <f t="shared" si="44"/>
        <v>44989.440000000017</v>
      </c>
    </row>
    <row r="1396" spans="1:11">
      <c r="A1396" s="141">
        <v>1396</v>
      </c>
      <c r="B1396" s="142">
        <v>43489</v>
      </c>
      <c r="C1396" s="149">
        <v>-4.3999999999999986</v>
      </c>
      <c r="D1396" s="141">
        <v>14860.600000000002</v>
      </c>
      <c r="E1396" s="141"/>
      <c r="F1396" s="141"/>
      <c r="G1396" s="141"/>
      <c r="H1396" s="141"/>
      <c r="J1396" s="141">
        <f t="shared" si="43"/>
        <v>3.46</v>
      </c>
      <c r="K1396" s="141">
        <f t="shared" si="44"/>
        <v>45072.480000000018</v>
      </c>
    </row>
    <row r="1397" spans="1:11">
      <c r="A1397" s="141">
        <v>1397</v>
      </c>
      <c r="B1397" s="142">
        <v>43490</v>
      </c>
      <c r="C1397" s="149">
        <v>-3.7000000000000028</v>
      </c>
      <c r="D1397" s="141">
        <v>14856.900000000001</v>
      </c>
      <c r="E1397" s="141"/>
      <c r="F1397" s="141"/>
      <c r="G1397" s="141"/>
      <c r="H1397" s="141"/>
      <c r="J1397" s="141">
        <f t="shared" si="43"/>
        <v>3.355</v>
      </c>
      <c r="K1397" s="141">
        <f t="shared" si="44"/>
        <v>45153.000000000015</v>
      </c>
    </row>
    <row r="1398" spans="1:11">
      <c r="A1398" s="141">
        <v>1398</v>
      </c>
      <c r="B1398" s="142">
        <v>43491</v>
      </c>
      <c r="C1398" s="149">
        <v>0.5</v>
      </c>
      <c r="D1398" s="141">
        <v>14857.400000000001</v>
      </c>
      <c r="E1398" s="141"/>
      <c r="F1398" s="141"/>
      <c r="G1398" s="141"/>
      <c r="H1398" s="141"/>
      <c r="J1398" s="141">
        <f t="shared" si="43"/>
        <v>2.7250000000000001</v>
      </c>
      <c r="K1398" s="141">
        <f t="shared" si="44"/>
        <v>45218.400000000016</v>
      </c>
    </row>
    <row r="1399" spans="1:11">
      <c r="A1399" s="141">
        <v>1399</v>
      </c>
      <c r="B1399" s="142">
        <v>43492</v>
      </c>
      <c r="C1399" s="149">
        <v>3.8000000000000007</v>
      </c>
      <c r="D1399" s="141">
        <v>14861.2</v>
      </c>
      <c r="E1399" s="141"/>
      <c r="F1399" s="141"/>
      <c r="G1399" s="141"/>
      <c r="H1399" s="141"/>
      <c r="J1399" s="141">
        <f t="shared" si="43"/>
        <v>2.23</v>
      </c>
      <c r="K1399" s="141">
        <f t="shared" si="44"/>
        <v>45271.920000000013</v>
      </c>
    </row>
    <row r="1400" spans="1:11">
      <c r="A1400" s="141">
        <v>1400</v>
      </c>
      <c r="B1400" s="142">
        <v>43493</v>
      </c>
      <c r="C1400" s="149">
        <v>3</v>
      </c>
      <c r="D1400" s="141">
        <v>14864.2</v>
      </c>
      <c r="E1400" s="141"/>
      <c r="F1400" s="141"/>
      <c r="G1400" s="141"/>
      <c r="H1400" s="141"/>
      <c r="J1400" s="141">
        <f t="shared" si="43"/>
        <v>2.35</v>
      </c>
      <c r="K1400" s="141">
        <f t="shared" si="44"/>
        <v>45328.320000000014</v>
      </c>
    </row>
    <row r="1401" spans="1:11">
      <c r="A1401" s="141">
        <v>1401</v>
      </c>
      <c r="B1401" s="142">
        <v>43494</v>
      </c>
      <c r="C1401" s="149">
        <v>1.3000000000000007</v>
      </c>
      <c r="D1401" s="141">
        <v>14865.5</v>
      </c>
      <c r="E1401" s="141"/>
      <c r="F1401" s="141"/>
      <c r="G1401" s="141"/>
      <c r="H1401" s="141"/>
      <c r="J1401" s="141">
        <f t="shared" si="43"/>
        <v>2.6049999999999995</v>
      </c>
      <c r="K1401" s="141">
        <f t="shared" si="44"/>
        <v>45390.840000000011</v>
      </c>
    </row>
    <row r="1402" spans="1:11">
      <c r="A1402" s="141">
        <v>1402</v>
      </c>
      <c r="B1402" s="142">
        <v>43495</v>
      </c>
      <c r="C1402" s="149">
        <v>-1.6000000000000014</v>
      </c>
      <c r="D1402" s="141">
        <v>14863.9</v>
      </c>
      <c r="E1402" s="141"/>
      <c r="F1402" s="141"/>
      <c r="G1402" s="141"/>
      <c r="H1402" s="141"/>
      <c r="J1402" s="141">
        <f t="shared" si="43"/>
        <v>3.04</v>
      </c>
      <c r="K1402" s="141">
        <f t="shared" si="44"/>
        <v>45463.80000000001</v>
      </c>
    </row>
    <row r="1403" spans="1:11">
      <c r="A1403" s="141">
        <v>1403</v>
      </c>
      <c r="B1403" s="142">
        <v>43496</v>
      </c>
      <c r="C1403" s="149">
        <v>-0.19999999999999929</v>
      </c>
      <c r="D1403" s="141">
        <v>14863.699999999999</v>
      </c>
      <c r="E1403" s="141"/>
      <c r="F1403" s="141"/>
      <c r="G1403" s="141"/>
      <c r="H1403" s="141"/>
      <c r="J1403" s="141">
        <f t="shared" si="43"/>
        <v>2.8299999999999996</v>
      </c>
      <c r="K1403" s="141">
        <f t="shared" si="44"/>
        <v>45531.720000000008</v>
      </c>
    </row>
    <row r="1404" spans="1:11">
      <c r="A1404" s="141">
        <v>1404</v>
      </c>
      <c r="B1404" s="142">
        <v>43497</v>
      </c>
      <c r="C1404" s="149">
        <v>0.60000000000000142</v>
      </c>
      <c r="D1404" s="141">
        <v>14864.3</v>
      </c>
      <c r="E1404" s="141"/>
      <c r="F1404" s="141"/>
      <c r="G1404" s="141"/>
      <c r="H1404" s="141"/>
      <c r="J1404" s="141">
        <f t="shared" si="43"/>
        <v>2.71</v>
      </c>
      <c r="K1404" s="141">
        <f t="shared" si="44"/>
        <v>45596.760000000009</v>
      </c>
    </row>
    <row r="1405" spans="1:11">
      <c r="A1405" s="141">
        <v>1405</v>
      </c>
      <c r="B1405" s="142">
        <v>43498</v>
      </c>
      <c r="C1405" s="149">
        <v>2.6000000000000014</v>
      </c>
      <c r="D1405" s="141">
        <v>14866.9</v>
      </c>
      <c r="E1405" s="141"/>
      <c r="F1405" s="141"/>
      <c r="G1405" s="141"/>
      <c r="H1405" s="141"/>
      <c r="J1405" s="141">
        <f t="shared" si="43"/>
        <v>2.4099999999999997</v>
      </c>
      <c r="K1405" s="141">
        <f t="shared" si="44"/>
        <v>45654.600000000006</v>
      </c>
    </row>
    <row r="1406" spans="1:11">
      <c r="A1406" s="141">
        <v>1406</v>
      </c>
      <c r="B1406" s="142">
        <v>43499</v>
      </c>
      <c r="C1406" s="149">
        <v>0.30000000000000071</v>
      </c>
      <c r="D1406" s="141">
        <v>14867.199999999999</v>
      </c>
      <c r="E1406" s="141"/>
      <c r="F1406" s="141"/>
      <c r="G1406" s="141"/>
      <c r="H1406" s="141"/>
      <c r="J1406" s="141">
        <f t="shared" si="43"/>
        <v>2.7549999999999999</v>
      </c>
      <c r="K1406" s="141">
        <f t="shared" si="44"/>
        <v>45720.720000000008</v>
      </c>
    </row>
    <row r="1407" spans="1:11">
      <c r="A1407" s="141">
        <v>1407</v>
      </c>
      <c r="B1407" s="142">
        <v>43500</v>
      </c>
      <c r="C1407" s="149">
        <v>-1.1000000000000014</v>
      </c>
      <c r="D1407" s="141">
        <v>14866.099999999999</v>
      </c>
      <c r="E1407" s="141"/>
      <c r="F1407" s="141"/>
      <c r="G1407" s="141"/>
      <c r="H1407" s="141"/>
      <c r="J1407" s="141">
        <f t="shared" si="43"/>
        <v>2.9650000000000003</v>
      </c>
      <c r="K1407" s="141">
        <f t="shared" si="44"/>
        <v>45791.880000000012</v>
      </c>
    </row>
    <row r="1408" spans="1:11">
      <c r="A1408" s="141">
        <v>1408</v>
      </c>
      <c r="B1408" s="142">
        <v>43501</v>
      </c>
      <c r="C1408" s="149">
        <v>-3.3999999999999986</v>
      </c>
      <c r="D1408" s="141">
        <v>14862.699999999999</v>
      </c>
      <c r="E1408" s="141"/>
      <c r="F1408" s="141"/>
      <c r="G1408" s="141"/>
      <c r="H1408" s="141"/>
      <c r="J1408" s="141">
        <f t="shared" si="43"/>
        <v>3.31</v>
      </c>
      <c r="K1408" s="141">
        <f t="shared" si="44"/>
        <v>45871.320000000014</v>
      </c>
    </row>
    <row r="1409" spans="1:11">
      <c r="A1409" s="141">
        <v>1409</v>
      </c>
      <c r="B1409" s="142">
        <v>43502</v>
      </c>
      <c r="C1409" s="149">
        <v>-1.1000000000000014</v>
      </c>
      <c r="D1409" s="141">
        <v>14861.599999999999</v>
      </c>
      <c r="E1409" s="141"/>
      <c r="F1409" s="141"/>
      <c r="G1409" s="141"/>
      <c r="H1409" s="141"/>
      <c r="J1409" s="141">
        <f t="shared" si="43"/>
        <v>2.9650000000000003</v>
      </c>
      <c r="K1409" s="141">
        <f t="shared" si="44"/>
        <v>45942.480000000018</v>
      </c>
    </row>
    <row r="1410" spans="1:11">
      <c r="A1410" s="141">
        <v>1410</v>
      </c>
      <c r="B1410" s="142">
        <v>43503</v>
      </c>
      <c r="C1410" s="149">
        <v>-2.3999999999999986</v>
      </c>
      <c r="D1410" s="141">
        <v>14859.199999999999</v>
      </c>
      <c r="E1410" s="141"/>
      <c r="F1410" s="141"/>
      <c r="G1410" s="141"/>
      <c r="H1410" s="141"/>
      <c r="J1410" s="141">
        <f t="shared" si="43"/>
        <v>3.1599999999999997</v>
      </c>
      <c r="K1410" s="141">
        <f t="shared" si="44"/>
        <v>46018.320000000014</v>
      </c>
    </row>
    <row r="1411" spans="1:11">
      <c r="A1411" s="141">
        <v>1411</v>
      </c>
      <c r="B1411" s="142">
        <v>43504</v>
      </c>
      <c r="C1411" s="149">
        <v>2.5</v>
      </c>
      <c r="D1411" s="141">
        <v>14861.699999999999</v>
      </c>
      <c r="E1411" s="141"/>
      <c r="F1411" s="141"/>
      <c r="G1411" s="141"/>
      <c r="H1411" s="141"/>
      <c r="J1411" s="141">
        <f t="shared" si="43"/>
        <v>2.4249999999999998</v>
      </c>
      <c r="K1411" s="141">
        <f t="shared" si="44"/>
        <v>46076.520000000011</v>
      </c>
    </row>
    <row r="1412" spans="1:11">
      <c r="A1412" s="141">
        <v>1412</v>
      </c>
      <c r="B1412" s="142">
        <v>43505</v>
      </c>
      <c r="C1412" s="149">
        <v>4.5</v>
      </c>
      <c r="D1412" s="141">
        <v>14866.199999999999</v>
      </c>
      <c r="E1412" s="141"/>
      <c r="F1412" s="141"/>
      <c r="G1412" s="141"/>
      <c r="H1412" s="141"/>
      <c r="J1412" s="141">
        <f t="shared" si="43"/>
        <v>2.125</v>
      </c>
      <c r="K1412" s="141">
        <f t="shared" si="44"/>
        <v>46127.520000000011</v>
      </c>
    </row>
    <row r="1413" spans="1:11">
      <c r="A1413" s="141">
        <v>1413</v>
      </c>
      <c r="B1413" s="142">
        <v>43506</v>
      </c>
      <c r="C1413" s="149">
        <v>5.5</v>
      </c>
      <c r="D1413" s="141">
        <v>14871.699999999999</v>
      </c>
      <c r="E1413" s="141"/>
      <c r="F1413" s="141"/>
      <c r="G1413" s="141"/>
      <c r="H1413" s="141"/>
      <c r="J1413" s="141">
        <f t="shared" si="43"/>
        <v>1.9750000000000001</v>
      </c>
      <c r="K1413" s="141">
        <f t="shared" si="44"/>
        <v>46174.920000000013</v>
      </c>
    </row>
    <row r="1414" spans="1:11">
      <c r="A1414" s="141">
        <v>1414</v>
      </c>
      <c r="B1414" s="142">
        <v>43507</v>
      </c>
      <c r="C1414" s="149">
        <v>4.1999999999999993</v>
      </c>
      <c r="D1414" s="141">
        <v>14875.9</v>
      </c>
      <c r="E1414" s="141"/>
      <c r="F1414" s="141"/>
      <c r="G1414" s="141"/>
      <c r="H1414" s="141"/>
      <c r="J1414" s="141">
        <f t="shared" si="43"/>
        <v>2.17</v>
      </c>
      <c r="K1414" s="141">
        <f t="shared" si="44"/>
        <v>46227.000000000015</v>
      </c>
    </row>
    <row r="1415" spans="1:11">
      <c r="A1415" s="141">
        <v>1415</v>
      </c>
      <c r="B1415" s="142">
        <v>43508</v>
      </c>
      <c r="C1415" s="149">
        <v>1.6999999999999993</v>
      </c>
      <c r="D1415" s="141">
        <v>14877.6</v>
      </c>
      <c r="E1415" s="141"/>
      <c r="F1415" s="141"/>
      <c r="G1415" s="141"/>
      <c r="H1415" s="141"/>
      <c r="J1415" s="141">
        <f t="shared" ref="J1415:J1478" si="45">J$1+(IF(J$3-$C1415&gt;0,J$3-$C1415,0)*J$2/30)</f>
        <v>2.5450000000000004</v>
      </c>
      <c r="K1415" s="141">
        <f t="shared" ref="K1415:K1478" si="46">K1414+J1415*24</f>
        <v>46288.080000000016</v>
      </c>
    </row>
    <row r="1416" spans="1:11">
      <c r="A1416" s="141">
        <v>1416</v>
      </c>
      <c r="B1416" s="142">
        <v>43509</v>
      </c>
      <c r="C1416" s="149">
        <v>4.5</v>
      </c>
      <c r="D1416" s="141">
        <v>14882.1</v>
      </c>
      <c r="E1416" s="141"/>
      <c r="F1416" s="141"/>
      <c r="G1416" s="141"/>
      <c r="H1416" s="141"/>
      <c r="J1416" s="141">
        <f t="shared" si="45"/>
        <v>2.125</v>
      </c>
      <c r="K1416" s="141">
        <f t="shared" si="46"/>
        <v>46339.080000000016</v>
      </c>
    </row>
    <row r="1417" spans="1:11">
      <c r="A1417" s="141">
        <v>1417</v>
      </c>
      <c r="B1417" s="142">
        <v>43510</v>
      </c>
      <c r="C1417" s="149">
        <v>4.8999999999999986</v>
      </c>
      <c r="D1417" s="141">
        <v>14887</v>
      </c>
      <c r="E1417" s="141"/>
      <c r="F1417" s="141"/>
      <c r="G1417" s="141"/>
      <c r="H1417" s="141"/>
      <c r="J1417" s="141">
        <f t="shared" si="45"/>
        <v>2.0650000000000004</v>
      </c>
      <c r="K1417" s="141">
        <f t="shared" si="46"/>
        <v>46388.640000000014</v>
      </c>
    </row>
    <row r="1418" spans="1:11">
      <c r="A1418" s="141">
        <v>1418</v>
      </c>
      <c r="B1418" s="142">
        <v>43511</v>
      </c>
      <c r="C1418" s="149">
        <v>3.3999999999999986</v>
      </c>
      <c r="D1418" s="141">
        <v>14890.4</v>
      </c>
      <c r="E1418" s="141"/>
      <c r="F1418" s="141"/>
      <c r="G1418" s="141"/>
      <c r="H1418" s="141"/>
      <c r="J1418" s="141">
        <f t="shared" si="45"/>
        <v>2.29</v>
      </c>
      <c r="K1418" s="141">
        <f t="shared" si="46"/>
        <v>46443.600000000013</v>
      </c>
    </row>
    <row r="1419" spans="1:11">
      <c r="A1419" s="141">
        <v>1419</v>
      </c>
      <c r="B1419" s="142">
        <v>43512</v>
      </c>
      <c r="C1419" s="149">
        <v>0.89999999999999858</v>
      </c>
      <c r="D1419" s="141">
        <v>14891.3</v>
      </c>
      <c r="E1419" s="141"/>
      <c r="F1419" s="141"/>
      <c r="G1419" s="141"/>
      <c r="H1419" s="141"/>
      <c r="J1419" s="141">
        <f t="shared" si="45"/>
        <v>2.665</v>
      </c>
      <c r="K1419" s="141">
        <f t="shared" si="46"/>
        <v>46507.560000000012</v>
      </c>
    </row>
    <row r="1420" spans="1:11">
      <c r="A1420" s="141">
        <v>1420</v>
      </c>
      <c r="B1420" s="142">
        <v>43513</v>
      </c>
      <c r="C1420" s="149">
        <v>2.1999999999999993</v>
      </c>
      <c r="D1420" s="141">
        <v>14893.5</v>
      </c>
      <c r="E1420" s="141"/>
      <c r="F1420" s="141"/>
      <c r="G1420" s="141"/>
      <c r="H1420" s="141"/>
      <c r="J1420" s="141">
        <f t="shared" si="45"/>
        <v>2.4700000000000002</v>
      </c>
      <c r="K1420" s="141">
        <f t="shared" si="46"/>
        <v>46566.840000000011</v>
      </c>
    </row>
    <row r="1421" spans="1:11">
      <c r="A1421" s="141">
        <v>1421</v>
      </c>
      <c r="B1421" s="142">
        <v>43514</v>
      </c>
      <c r="C1421" s="149">
        <v>1.8000000000000007</v>
      </c>
      <c r="D1421" s="141">
        <v>14895.3</v>
      </c>
      <c r="E1421" s="141"/>
      <c r="F1421" s="141"/>
      <c r="G1421" s="141"/>
      <c r="H1421" s="141"/>
      <c r="J1421" s="141">
        <f t="shared" si="45"/>
        <v>2.5299999999999998</v>
      </c>
      <c r="K1421" s="141">
        <f t="shared" si="46"/>
        <v>46627.560000000012</v>
      </c>
    </row>
    <row r="1422" spans="1:11">
      <c r="A1422" s="141">
        <v>1422</v>
      </c>
      <c r="B1422" s="142">
        <v>43515</v>
      </c>
      <c r="C1422" s="149">
        <v>4.5</v>
      </c>
      <c r="D1422" s="141">
        <v>14899.8</v>
      </c>
      <c r="E1422" s="141"/>
      <c r="F1422" s="141"/>
      <c r="G1422" s="141"/>
      <c r="H1422" s="141"/>
      <c r="J1422" s="141">
        <f t="shared" si="45"/>
        <v>2.125</v>
      </c>
      <c r="K1422" s="141">
        <f t="shared" si="46"/>
        <v>46678.560000000012</v>
      </c>
    </row>
    <row r="1423" spans="1:11">
      <c r="A1423" s="141">
        <v>1423</v>
      </c>
      <c r="B1423" s="142">
        <v>43516</v>
      </c>
      <c r="C1423" s="149">
        <v>4.5</v>
      </c>
      <c r="D1423" s="141">
        <v>14904.3</v>
      </c>
      <c r="E1423" s="141"/>
      <c r="F1423" s="141"/>
      <c r="G1423" s="141"/>
      <c r="H1423" s="141"/>
      <c r="J1423" s="141">
        <f t="shared" si="45"/>
        <v>2.125</v>
      </c>
      <c r="K1423" s="141">
        <f t="shared" si="46"/>
        <v>46729.560000000012</v>
      </c>
    </row>
    <row r="1424" spans="1:11">
      <c r="A1424" s="141">
        <v>1424</v>
      </c>
      <c r="B1424" s="142">
        <v>43517</v>
      </c>
      <c r="C1424" s="149">
        <v>6.1000000000000014</v>
      </c>
      <c r="D1424" s="141">
        <v>14910.4</v>
      </c>
      <c r="E1424" s="141"/>
      <c r="F1424" s="141"/>
      <c r="G1424" s="141"/>
      <c r="H1424" s="141"/>
      <c r="J1424" s="141">
        <f t="shared" si="45"/>
        <v>1.885</v>
      </c>
      <c r="K1424" s="141">
        <f t="shared" si="46"/>
        <v>46774.80000000001</v>
      </c>
    </row>
    <row r="1425" spans="1:11">
      <c r="A1425" s="141">
        <v>1425</v>
      </c>
      <c r="B1425" s="142">
        <v>43518</v>
      </c>
      <c r="C1425" s="149">
        <v>4.1999999999999993</v>
      </c>
      <c r="D1425" s="141">
        <v>14914.6</v>
      </c>
      <c r="E1425" s="141"/>
      <c r="F1425" s="141"/>
      <c r="G1425" s="141"/>
      <c r="H1425" s="141"/>
      <c r="J1425" s="141">
        <f t="shared" si="45"/>
        <v>2.17</v>
      </c>
      <c r="K1425" s="141">
        <f t="shared" si="46"/>
        <v>46826.880000000012</v>
      </c>
    </row>
    <row r="1426" spans="1:11">
      <c r="A1426" s="141">
        <v>1426</v>
      </c>
      <c r="B1426" s="142">
        <v>43519</v>
      </c>
      <c r="C1426" s="149">
        <v>-2.7999999999999972</v>
      </c>
      <c r="D1426" s="141">
        <v>14911.800000000001</v>
      </c>
      <c r="E1426" s="141"/>
      <c r="F1426" s="141"/>
      <c r="G1426" s="141"/>
      <c r="H1426" s="141"/>
      <c r="J1426" s="141">
        <f t="shared" si="45"/>
        <v>3.2199999999999998</v>
      </c>
      <c r="K1426" s="141">
        <f t="shared" si="46"/>
        <v>46904.160000000011</v>
      </c>
    </row>
    <row r="1427" spans="1:11">
      <c r="A1427" s="141">
        <v>1427</v>
      </c>
      <c r="B1427" s="142">
        <v>43520</v>
      </c>
      <c r="C1427" s="149">
        <v>-0.60000000000000142</v>
      </c>
      <c r="D1427" s="141">
        <v>14911.2</v>
      </c>
      <c r="E1427" s="141"/>
      <c r="F1427" s="141"/>
      <c r="G1427" s="141"/>
      <c r="H1427" s="141"/>
      <c r="J1427" s="141">
        <f t="shared" si="45"/>
        <v>2.89</v>
      </c>
      <c r="K1427" s="141">
        <f t="shared" si="46"/>
        <v>46973.520000000011</v>
      </c>
    </row>
    <row r="1428" spans="1:11">
      <c r="A1428" s="141">
        <v>1428</v>
      </c>
      <c r="B1428" s="142">
        <v>43521</v>
      </c>
      <c r="C1428" s="149">
        <v>6.3000000000000007</v>
      </c>
      <c r="D1428" s="141">
        <v>14917.5</v>
      </c>
      <c r="E1428" s="141"/>
      <c r="F1428" s="141"/>
      <c r="G1428" s="141"/>
      <c r="H1428" s="141"/>
      <c r="J1428" s="141">
        <f t="shared" si="45"/>
        <v>1.855</v>
      </c>
      <c r="K1428" s="141">
        <f t="shared" si="46"/>
        <v>47018.040000000008</v>
      </c>
    </row>
    <row r="1429" spans="1:11">
      <c r="A1429" s="141">
        <v>1429</v>
      </c>
      <c r="B1429" s="142">
        <v>43522</v>
      </c>
      <c r="C1429" s="149">
        <v>7.6000000000000014</v>
      </c>
      <c r="D1429" s="141">
        <v>14925.1</v>
      </c>
      <c r="E1429" s="141"/>
      <c r="F1429" s="141"/>
      <c r="G1429" s="141"/>
      <c r="H1429" s="141"/>
      <c r="J1429" s="141">
        <f t="shared" si="45"/>
        <v>1.66</v>
      </c>
      <c r="K1429" s="141">
        <f t="shared" si="46"/>
        <v>47057.880000000005</v>
      </c>
    </row>
    <row r="1430" spans="1:11">
      <c r="A1430" s="141">
        <v>1430</v>
      </c>
      <c r="B1430" s="142">
        <v>43523</v>
      </c>
      <c r="C1430" s="149">
        <v>6.3999999999999986</v>
      </c>
      <c r="D1430" s="141">
        <v>14931.5</v>
      </c>
      <c r="E1430" s="141"/>
      <c r="F1430" s="141"/>
      <c r="G1430" s="141"/>
      <c r="H1430" s="141"/>
      <c r="J1430" s="141">
        <f t="shared" si="45"/>
        <v>1.84</v>
      </c>
      <c r="K1430" s="141">
        <f t="shared" si="46"/>
        <v>47102.040000000008</v>
      </c>
    </row>
    <row r="1431" spans="1:11">
      <c r="A1431" s="141">
        <v>1431</v>
      </c>
      <c r="B1431" s="142">
        <v>43524</v>
      </c>
      <c r="C1431" s="149">
        <v>10.199999999999999</v>
      </c>
      <c r="D1431" s="141">
        <v>14941.7</v>
      </c>
      <c r="E1431" s="141"/>
      <c r="F1431" s="141"/>
      <c r="G1431" s="141"/>
      <c r="H1431" s="141"/>
      <c r="J1431" s="141">
        <f t="shared" si="45"/>
        <v>1.27</v>
      </c>
      <c r="K1431" s="141">
        <f t="shared" si="46"/>
        <v>47132.520000000011</v>
      </c>
    </row>
    <row r="1432" spans="1:11">
      <c r="A1432" s="141">
        <v>1432</v>
      </c>
      <c r="B1432" s="142">
        <v>43525</v>
      </c>
      <c r="C1432" s="149">
        <v>8.5</v>
      </c>
      <c r="D1432" s="141">
        <v>14950.2</v>
      </c>
      <c r="E1432" s="141"/>
      <c r="F1432" s="141"/>
      <c r="G1432" s="141"/>
      <c r="H1432" s="141"/>
      <c r="J1432" s="141">
        <f t="shared" si="45"/>
        <v>1.5249999999999999</v>
      </c>
      <c r="K1432" s="141">
        <f t="shared" si="46"/>
        <v>47169.12000000001</v>
      </c>
    </row>
    <row r="1433" spans="1:11">
      <c r="A1433" s="141">
        <v>1433</v>
      </c>
      <c r="B1433" s="142">
        <v>43526</v>
      </c>
      <c r="C1433" s="149">
        <v>4.1999999999999993</v>
      </c>
      <c r="D1433" s="141">
        <v>14954.400000000001</v>
      </c>
      <c r="E1433" s="141"/>
      <c r="F1433" s="141"/>
      <c r="G1433" s="141"/>
      <c r="H1433" s="141"/>
      <c r="J1433" s="141">
        <f t="shared" si="45"/>
        <v>2.17</v>
      </c>
      <c r="K1433" s="141">
        <f t="shared" si="46"/>
        <v>47221.200000000012</v>
      </c>
    </row>
    <row r="1434" spans="1:11">
      <c r="A1434" s="141">
        <v>1434</v>
      </c>
      <c r="B1434" s="142">
        <v>43527</v>
      </c>
      <c r="C1434" s="149">
        <v>9.1000000000000014</v>
      </c>
      <c r="D1434" s="141">
        <v>14963.500000000002</v>
      </c>
      <c r="E1434" s="141"/>
      <c r="F1434" s="141"/>
      <c r="G1434" s="141"/>
      <c r="H1434" s="141"/>
      <c r="J1434" s="141">
        <f t="shared" si="45"/>
        <v>1.4349999999999998</v>
      </c>
      <c r="K1434" s="141">
        <f t="shared" si="46"/>
        <v>47255.640000000014</v>
      </c>
    </row>
    <row r="1435" spans="1:11">
      <c r="A1435" s="141">
        <v>1435</v>
      </c>
      <c r="B1435" s="142">
        <v>43528</v>
      </c>
      <c r="C1435" s="149">
        <v>10.7</v>
      </c>
      <c r="D1435" s="141">
        <v>14974.200000000003</v>
      </c>
      <c r="E1435" s="141"/>
      <c r="F1435" s="141"/>
      <c r="G1435" s="141"/>
      <c r="H1435" s="141"/>
      <c r="J1435" s="141">
        <f t="shared" si="45"/>
        <v>1.1950000000000001</v>
      </c>
      <c r="K1435" s="141">
        <f t="shared" si="46"/>
        <v>47284.320000000014</v>
      </c>
    </row>
    <row r="1436" spans="1:11">
      <c r="A1436" s="141">
        <v>1436</v>
      </c>
      <c r="B1436" s="142">
        <v>43529</v>
      </c>
      <c r="C1436" s="149">
        <v>5.5</v>
      </c>
      <c r="D1436" s="141">
        <v>14979.700000000003</v>
      </c>
      <c r="E1436" s="141"/>
      <c r="F1436" s="141"/>
      <c r="G1436" s="141"/>
      <c r="H1436" s="141"/>
      <c r="J1436" s="141">
        <f t="shared" si="45"/>
        <v>1.9750000000000001</v>
      </c>
      <c r="K1436" s="141">
        <f t="shared" si="46"/>
        <v>47331.720000000016</v>
      </c>
    </row>
    <row r="1437" spans="1:11">
      <c r="A1437" s="141">
        <v>1437</v>
      </c>
      <c r="B1437" s="142">
        <v>43530</v>
      </c>
      <c r="C1437" s="149">
        <v>6.3000000000000007</v>
      </c>
      <c r="D1437" s="141">
        <v>14986.000000000002</v>
      </c>
      <c r="E1437" s="141"/>
      <c r="F1437" s="141"/>
      <c r="G1437" s="141"/>
      <c r="H1437" s="141"/>
      <c r="J1437" s="141">
        <f t="shared" si="45"/>
        <v>1.855</v>
      </c>
      <c r="K1437" s="141">
        <f t="shared" si="46"/>
        <v>47376.240000000013</v>
      </c>
    </row>
    <row r="1438" spans="1:11">
      <c r="A1438" s="141">
        <v>1438</v>
      </c>
      <c r="B1438" s="142">
        <v>43531</v>
      </c>
      <c r="C1438" s="149">
        <v>8.8999999999999986</v>
      </c>
      <c r="D1438" s="141">
        <v>14994.900000000001</v>
      </c>
      <c r="E1438" s="141"/>
      <c r="F1438" s="141"/>
      <c r="G1438" s="141"/>
      <c r="H1438" s="141"/>
      <c r="J1438" s="141">
        <f t="shared" si="45"/>
        <v>1.4650000000000001</v>
      </c>
      <c r="K1438" s="141">
        <f t="shared" si="46"/>
        <v>47411.400000000016</v>
      </c>
    </row>
    <row r="1439" spans="1:11">
      <c r="A1439" s="141">
        <v>1439</v>
      </c>
      <c r="B1439" s="142">
        <v>43532</v>
      </c>
      <c r="C1439" s="149">
        <v>7.6000000000000014</v>
      </c>
      <c r="D1439" s="141">
        <v>15002.500000000002</v>
      </c>
      <c r="E1439" s="141"/>
      <c r="F1439" s="141"/>
      <c r="G1439" s="141"/>
      <c r="H1439" s="141"/>
      <c r="J1439" s="141">
        <f t="shared" si="45"/>
        <v>1.66</v>
      </c>
      <c r="K1439" s="141">
        <f t="shared" si="46"/>
        <v>47451.240000000013</v>
      </c>
    </row>
    <row r="1440" spans="1:11">
      <c r="A1440" s="141">
        <v>1440</v>
      </c>
      <c r="B1440" s="142">
        <v>43533</v>
      </c>
      <c r="C1440" s="149">
        <v>7.6000000000000014</v>
      </c>
      <c r="D1440" s="141">
        <v>15010.100000000002</v>
      </c>
      <c r="E1440" s="141"/>
      <c r="F1440" s="141"/>
      <c r="G1440" s="141"/>
      <c r="H1440" s="141"/>
      <c r="J1440" s="141">
        <f t="shared" si="45"/>
        <v>1.66</v>
      </c>
      <c r="K1440" s="141">
        <f t="shared" si="46"/>
        <v>47491.080000000009</v>
      </c>
    </row>
    <row r="1441" spans="1:11">
      <c r="A1441" s="141">
        <v>1441</v>
      </c>
      <c r="B1441" s="142">
        <v>43534</v>
      </c>
      <c r="C1441" s="149">
        <v>7.3000000000000007</v>
      </c>
      <c r="D1441" s="141">
        <v>15017.400000000001</v>
      </c>
      <c r="E1441" s="141"/>
      <c r="F1441" s="141"/>
      <c r="G1441" s="141"/>
      <c r="H1441" s="141"/>
      <c r="J1441" s="141">
        <f t="shared" si="45"/>
        <v>1.7049999999999998</v>
      </c>
      <c r="K1441" s="141">
        <f t="shared" si="46"/>
        <v>47532.000000000007</v>
      </c>
    </row>
    <row r="1442" spans="1:11">
      <c r="A1442" s="141">
        <v>1442</v>
      </c>
      <c r="B1442" s="142">
        <v>43535</v>
      </c>
      <c r="C1442" s="149">
        <v>3.3000000000000007</v>
      </c>
      <c r="D1442" s="141">
        <v>15020.7</v>
      </c>
      <c r="E1442" s="141"/>
      <c r="F1442" s="141"/>
      <c r="G1442" s="141"/>
      <c r="H1442" s="141"/>
      <c r="J1442" s="141">
        <f t="shared" si="45"/>
        <v>2.3050000000000002</v>
      </c>
      <c r="K1442" s="141">
        <f t="shared" si="46"/>
        <v>47587.320000000007</v>
      </c>
    </row>
    <row r="1443" spans="1:11">
      <c r="A1443" s="141">
        <v>1443</v>
      </c>
      <c r="B1443" s="142">
        <v>43536</v>
      </c>
      <c r="C1443" s="149">
        <v>4.1000000000000014</v>
      </c>
      <c r="D1443" s="141">
        <v>15024.800000000001</v>
      </c>
      <c r="E1443" s="141"/>
      <c r="F1443" s="141"/>
      <c r="G1443" s="141"/>
      <c r="H1443" s="141"/>
      <c r="J1443" s="141">
        <f t="shared" si="45"/>
        <v>2.1849999999999996</v>
      </c>
      <c r="K1443" s="141">
        <f t="shared" si="46"/>
        <v>47639.760000000009</v>
      </c>
    </row>
    <row r="1444" spans="1:11">
      <c r="A1444" s="141">
        <v>1444</v>
      </c>
      <c r="B1444" s="142">
        <v>43537</v>
      </c>
      <c r="C1444" s="149">
        <v>6.8000000000000007</v>
      </c>
      <c r="D1444" s="141">
        <v>15031.6</v>
      </c>
      <c r="E1444" s="141"/>
      <c r="F1444" s="141"/>
      <c r="G1444" s="141"/>
      <c r="H1444" s="141"/>
      <c r="J1444" s="141">
        <f t="shared" si="45"/>
        <v>1.78</v>
      </c>
      <c r="K1444" s="141">
        <f t="shared" si="46"/>
        <v>47682.48000000001</v>
      </c>
    </row>
    <row r="1445" spans="1:11">
      <c r="A1445" s="141">
        <v>1445</v>
      </c>
      <c r="B1445" s="142">
        <v>43538</v>
      </c>
      <c r="C1445" s="149">
        <v>5.8000000000000007</v>
      </c>
      <c r="D1445" s="141">
        <v>15037.4</v>
      </c>
      <c r="E1445" s="141"/>
      <c r="F1445" s="141"/>
      <c r="G1445" s="141"/>
      <c r="H1445" s="141"/>
      <c r="J1445" s="141">
        <f t="shared" si="45"/>
        <v>1.93</v>
      </c>
      <c r="K1445" s="141">
        <f t="shared" si="46"/>
        <v>47728.80000000001</v>
      </c>
    </row>
    <row r="1446" spans="1:11">
      <c r="A1446" s="141">
        <v>1446</v>
      </c>
      <c r="B1446" s="142">
        <v>43539</v>
      </c>
      <c r="C1446" s="149">
        <v>7.6000000000000014</v>
      </c>
      <c r="D1446" s="141">
        <v>15045</v>
      </c>
      <c r="E1446" s="141"/>
      <c r="F1446" s="141"/>
      <c r="G1446" s="141"/>
      <c r="H1446" s="141"/>
      <c r="J1446" s="141">
        <f t="shared" si="45"/>
        <v>1.66</v>
      </c>
      <c r="K1446" s="141">
        <f t="shared" si="46"/>
        <v>47768.640000000007</v>
      </c>
    </row>
    <row r="1447" spans="1:11">
      <c r="A1447" s="141">
        <v>1447</v>
      </c>
      <c r="B1447" s="142">
        <v>43540</v>
      </c>
      <c r="C1447" s="149">
        <v>7.3999999999999986</v>
      </c>
      <c r="D1447" s="141">
        <v>15052.4</v>
      </c>
      <c r="E1447" s="141"/>
      <c r="F1447" s="141"/>
      <c r="G1447" s="141"/>
      <c r="H1447" s="141"/>
      <c r="J1447" s="141">
        <f t="shared" si="45"/>
        <v>1.6900000000000002</v>
      </c>
      <c r="K1447" s="141">
        <f t="shared" si="46"/>
        <v>47809.200000000004</v>
      </c>
    </row>
    <row r="1448" spans="1:11">
      <c r="A1448" s="141">
        <v>1448</v>
      </c>
      <c r="B1448" s="142">
        <v>43541</v>
      </c>
      <c r="C1448" s="149">
        <v>10.5</v>
      </c>
      <c r="D1448" s="141">
        <v>15062.9</v>
      </c>
      <c r="E1448" s="141"/>
      <c r="F1448" s="141"/>
      <c r="G1448" s="141"/>
      <c r="H1448" s="141"/>
      <c r="J1448" s="141">
        <f t="shared" si="45"/>
        <v>1.2250000000000001</v>
      </c>
      <c r="K1448" s="141">
        <f t="shared" si="46"/>
        <v>47838.600000000006</v>
      </c>
    </row>
    <row r="1449" spans="1:11">
      <c r="A1449" s="141">
        <v>1449</v>
      </c>
      <c r="B1449" s="142">
        <v>43542</v>
      </c>
      <c r="C1449" s="149">
        <v>5.5</v>
      </c>
      <c r="D1449" s="141">
        <v>15068.4</v>
      </c>
      <c r="E1449" s="141"/>
      <c r="F1449" s="141"/>
      <c r="G1449" s="141"/>
      <c r="H1449" s="141"/>
      <c r="J1449" s="141">
        <f t="shared" si="45"/>
        <v>1.9750000000000001</v>
      </c>
      <c r="K1449" s="141">
        <f t="shared" si="46"/>
        <v>47886.000000000007</v>
      </c>
    </row>
    <row r="1450" spans="1:11">
      <c r="A1450" s="141">
        <v>1450</v>
      </c>
      <c r="B1450" s="142">
        <v>43543</v>
      </c>
      <c r="C1450" s="149">
        <v>4.1999999999999993</v>
      </c>
      <c r="D1450" s="141">
        <v>15072.6</v>
      </c>
      <c r="E1450" s="141"/>
      <c r="F1450" s="141"/>
      <c r="G1450" s="141"/>
      <c r="H1450" s="141"/>
      <c r="J1450" s="141">
        <f t="shared" si="45"/>
        <v>2.17</v>
      </c>
      <c r="K1450" s="141">
        <f t="shared" si="46"/>
        <v>47938.080000000009</v>
      </c>
    </row>
    <row r="1451" spans="1:11">
      <c r="A1451" s="141">
        <v>1451</v>
      </c>
      <c r="B1451" s="142">
        <v>43544</v>
      </c>
      <c r="C1451" s="149">
        <v>6.1000000000000014</v>
      </c>
      <c r="D1451" s="141">
        <v>15078.7</v>
      </c>
      <c r="E1451" s="141"/>
      <c r="F1451" s="141"/>
      <c r="G1451" s="141"/>
      <c r="H1451" s="141"/>
      <c r="J1451" s="141">
        <f t="shared" si="45"/>
        <v>1.885</v>
      </c>
      <c r="K1451" s="141">
        <f t="shared" si="46"/>
        <v>47983.320000000007</v>
      </c>
    </row>
    <row r="1452" spans="1:11">
      <c r="A1452" s="141">
        <v>1452</v>
      </c>
      <c r="B1452" s="142">
        <v>43545</v>
      </c>
      <c r="C1452" s="149">
        <v>7</v>
      </c>
      <c r="D1452" s="141">
        <v>15085.7</v>
      </c>
      <c r="E1452" s="141"/>
      <c r="F1452" s="141"/>
      <c r="G1452" s="141"/>
      <c r="H1452" s="141"/>
      <c r="J1452" s="141">
        <f t="shared" si="45"/>
        <v>1.75</v>
      </c>
      <c r="K1452" s="141">
        <f t="shared" si="46"/>
        <v>48025.320000000007</v>
      </c>
    </row>
    <row r="1453" spans="1:11">
      <c r="A1453" s="141">
        <v>1453</v>
      </c>
      <c r="B1453" s="142">
        <v>43546</v>
      </c>
      <c r="C1453" s="149">
        <v>10</v>
      </c>
      <c r="D1453" s="141">
        <v>15095.7</v>
      </c>
      <c r="E1453" s="141"/>
      <c r="F1453" s="141"/>
      <c r="G1453" s="141"/>
      <c r="H1453" s="141"/>
      <c r="J1453" s="141">
        <f t="shared" si="45"/>
        <v>1.3</v>
      </c>
      <c r="K1453" s="141">
        <f t="shared" si="46"/>
        <v>48056.520000000004</v>
      </c>
    </row>
    <row r="1454" spans="1:11">
      <c r="A1454" s="141">
        <v>1454</v>
      </c>
      <c r="B1454" s="142">
        <v>43547</v>
      </c>
      <c r="C1454" s="149">
        <v>12</v>
      </c>
      <c r="D1454" s="141">
        <v>15107.7</v>
      </c>
      <c r="E1454" s="141"/>
      <c r="F1454" s="141"/>
      <c r="G1454" s="141"/>
      <c r="H1454" s="141"/>
      <c r="J1454" s="141">
        <f t="shared" si="45"/>
        <v>1</v>
      </c>
      <c r="K1454" s="141">
        <f t="shared" si="46"/>
        <v>48080.520000000004</v>
      </c>
    </row>
    <row r="1455" spans="1:11">
      <c r="A1455" s="141">
        <v>1455</v>
      </c>
      <c r="B1455" s="142">
        <v>43548</v>
      </c>
      <c r="C1455" s="149">
        <v>8.8999999999999986</v>
      </c>
      <c r="D1455" s="141">
        <v>15116.6</v>
      </c>
      <c r="E1455" s="141"/>
      <c r="F1455" s="141"/>
      <c r="G1455" s="141"/>
      <c r="H1455" s="141"/>
      <c r="J1455" s="141">
        <f t="shared" si="45"/>
        <v>1.4650000000000001</v>
      </c>
      <c r="K1455" s="141">
        <f t="shared" si="46"/>
        <v>48115.680000000008</v>
      </c>
    </row>
    <row r="1456" spans="1:11">
      <c r="A1456" s="141">
        <v>1456</v>
      </c>
      <c r="B1456" s="142">
        <v>43549</v>
      </c>
      <c r="C1456" s="149">
        <v>6.3000000000000007</v>
      </c>
      <c r="D1456" s="141">
        <v>15122.9</v>
      </c>
      <c r="E1456" s="141"/>
      <c r="F1456" s="141"/>
      <c r="G1456" s="141"/>
      <c r="H1456" s="141"/>
      <c r="J1456" s="141">
        <f t="shared" si="45"/>
        <v>1.855</v>
      </c>
      <c r="K1456" s="141">
        <f t="shared" si="46"/>
        <v>48160.200000000004</v>
      </c>
    </row>
    <row r="1457" spans="1:11">
      <c r="A1457" s="141">
        <v>1457</v>
      </c>
      <c r="B1457" s="142">
        <v>43550</v>
      </c>
      <c r="C1457" s="149">
        <v>5.3999999999999986</v>
      </c>
      <c r="D1457" s="141">
        <v>15128.3</v>
      </c>
      <c r="E1457" s="141"/>
      <c r="F1457" s="141"/>
      <c r="G1457" s="141"/>
      <c r="H1457" s="141"/>
      <c r="J1457" s="141">
        <f t="shared" si="45"/>
        <v>1.99</v>
      </c>
      <c r="K1457" s="141">
        <f t="shared" si="46"/>
        <v>48207.960000000006</v>
      </c>
    </row>
    <row r="1458" spans="1:11">
      <c r="A1458" s="141">
        <v>1458</v>
      </c>
      <c r="B1458" s="142">
        <v>43551</v>
      </c>
      <c r="C1458" s="149">
        <v>6.1000000000000014</v>
      </c>
      <c r="D1458" s="141">
        <v>15134.4</v>
      </c>
      <c r="E1458" s="141"/>
      <c r="F1458" s="141"/>
      <c r="G1458" s="141"/>
      <c r="H1458" s="141"/>
      <c r="J1458" s="141">
        <f t="shared" si="45"/>
        <v>1.885</v>
      </c>
      <c r="K1458" s="141">
        <f t="shared" si="46"/>
        <v>48253.200000000004</v>
      </c>
    </row>
    <row r="1459" spans="1:11">
      <c r="A1459" s="141">
        <v>1459</v>
      </c>
      <c r="B1459" s="142">
        <v>43552</v>
      </c>
      <c r="C1459" s="149">
        <v>8.1000000000000014</v>
      </c>
      <c r="D1459" s="141">
        <v>15142.5</v>
      </c>
      <c r="E1459" s="141"/>
      <c r="F1459" s="141"/>
      <c r="G1459" s="141"/>
      <c r="H1459" s="141"/>
      <c r="J1459" s="141">
        <f t="shared" si="45"/>
        <v>1.585</v>
      </c>
      <c r="K1459" s="141">
        <f t="shared" si="46"/>
        <v>48291.240000000005</v>
      </c>
    </row>
    <row r="1460" spans="1:11">
      <c r="A1460" s="141">
        <v>1460</v>
      </c>
      <c r="B1460" s="142">
        <v>43553</v>
      </c>
      <c r="C1460" s="149">
        <v>8.8000000000000007</v>
      </c>
      <c r="D1460" s="141">
        <v>15151.3</v>
      </c>
      <c r="E1460" s="141"/>
      <c r="F1460" s="141"/>
      <c r="G1460" s="141"/>
      <c r="H1460" s="141"/>
      <c r="J1460" s="141">
        <f t="shared" si="45"/>
        <v>1.48</v>
      </c>
      <c r="K1460" s="141">
        <f t="shared" si="46"/>
        <v>48326.76</v>
      </c>
    </row>
    <row r="1461" spans="1:11">
      <c r="A1461" s="141">
        <v>1461</v>
      </c>
      <c r="B1461" s="142">
        <v>43554</v>
      </c>
      <c r="C1461" s="149">
        <v>9.3000000000000007</v>
      </c>
      <c r="D1461" s="141">
        <v>15160.599999999999</v>
      </c>
      <c r="E1461" s="141"/>
      <c r="F1461" s="141"/>
      <c r="G1461" s="141"/>
      <c r="H1461" s="141"/>
      <c r="J1461" s="141">
        <f t="shared" si="45"/>
        <v>1.405</v>
      </c>
      <c r="K1461" s="141">
        <f t="shared" si="46"/>
        <v>48360.480000000003</v>
      </c>
    </row>
    <row r="1462" spans="1:11">
      <c r="A1462" s="141">
        <v>1462</v>
      </c>
      <c r="B1462" s="142">
        <v>43555</v>
      </c>
      <c r="C1462" s="149">
        <v>10.5</v>
      </c>
      <c r="D1462" s="141">
        <v>15171.099999999999</v>
      </c>
      <c r="E1462" s="141"/>
      <c r="F1462" s="141"/>
      <c r="G1462" s="141"/>
      <c r="H1462" s="141"/>
      <c r="J1462" s="141">
        <f t="shared" si="45"/>
        <v>1.2250000000000001</v>
      </c>
      <c r="K1462" s="141">
        <f t="shared" si="46"/>
        <v>48389.880000000005</v>
      </c>
    </row>
    <row r="1463" spans="1:11">
      <c r="A1463" s="141">
        <v>1463</v>
      </c>
      <c r="B1463" s="142">
        <v>43556</v>
      </c>
      <c r="C1463" s="149">
        <v>7.3000000000000007</v>
      </c>
      <c r="D1463" s="141">
        <v>15178.399999999998</v>
      </c>
      <c r="E1463" s="141"/>
      <c r="F1463" s="141"/>
      <c r="G1463" s="141"/>
      <c r="H1463" s="141"/>
      <c r="J1463" s="141">
        <f t="shared" si="45"/>
        <v>1.7049999999999998</v>
      </c>
      <c r="K1463" s="141">
        <f t="shared" si="46"/>
        <v>48430.8</v>
      </c>
    </row>
    <row r="1464" spans="1:11">
      <c r="A1464" s="141">
        <v>1464</v>
      </c>
      <c r="B1464" s="142">
        <v>43557</v>
      </c>
      <c r="C1464" s="149">
        <v>8.6999999999999993</v>
      </c>
      <c r="D1464" s="141">
        <v>15187.099999999999</v>
      </c>
      <c r="E1464" s="141"/>
      <c r="F1464" s="141"/>
      <c r="G1464" s="141"/>
      <c r="H1464" s="141"/>
      <c r="J1464" s="141">
        <f t="shared" si="45"/>
        <v>1.4950000000000001</v>
      </c>
      <c r="K1464" s="141">
        <f t="shared" si="46"/>
        <v>48466.68</v>
      </c>
    </row>
    <row r="1465" spans="1:11">
      <c r="A1465" s="141">
        <v>1465</v>
      </c>
      <c r="B1465" s="142">
        <v>43558</v>
      </c>
      <c r="C1465" s="149">
        <v>12.600000000000001</v>
      </c>
      <c r="D1465" s="141">
        <v>15199.699999999999</v>
      </c>
      <c r="E1465" s="141"/>
      <c r="F1465" s="141"/>
      <c r="G1465" s="141"/>
      <c r="H1465" s="141"/>
      <c r="J1465" s="141">
        <f t="shared" si="45"/>
        <v>0.90999999999999981</v>
      </c>
      <c r="K1465" s="141">
        <f t="shared" si="46"/>
        <v>48488.52</v>
      </c>
    </row>
    <row r="1466" spans="1:11">
      <c r="A1466" s="141">
        <v>1466</v>
      </c>
      <c r="B1466" s="142">
        <v>43559</v>
      </c>
      <c r="C1466" s="149">
        <v>13.399999999999999</v>
      </c>
      <c r="D1466" s="141">
        <v>15213.099999999999</v>
      </c>
      <c r="E1466" s="141"/>
      <c r="F1466" s="141"/>
      <c r="G1466" s="141"/>
      <c r="H1466" s="141"/>
      <c r="J1466" s="141">
        <f t="shared" si="45"/>
        <v>0.79000000000000026</v>
      </c>
      <c r="K1466" s="141">
        <f t="shared" si="46"/>
        <v>48507.479999999996</v>
      </c>
    </row>
    <row r="1467" spans="1:11">
      <c r="A1467" s="141">
        <v>1467</v>
      </c>
      <c r="B1467" s="142">
        <v>43560</v>
      </c>
      <c r="C1467" s="149">
        <v>12.899999999999999</v>
      </c>
      <c r="D1467" s="141">
        <v>15225.999999999998</v>
      </c>
      <c r="E1467" s="141"/>
      <c r="F1467" s="141"/>
      <c r="G1467" s="141"/>
      <c r="H1467" s="141"/>
      <c r="J1467" s="141">
        <f t="shared" si="45"/>
        <v>0.86500000000000021</v>
      </c>
      <c r="K1467" s="141">
        <f t="shared" si="46"/>
        <v>48528.24</v>
      </c>
    </row>
    <row r="1468" spans="1:11">
      <c r="A1468" s="141">
        <v>1468</v>
      </c>
      <c r="B1468" s="142">
        <v>43561</v>
      </c>
      <c r="C1468" s="149">
        <v>11.8</v>
      </c>
      <c r="D1468" s="141">
        <v>15237.799999999997</v>
      </c>
      <c r="E1468" s="141"/>
      <c r="F1468" s="141"/>
      <c r="G1468" s="141"/>
      <c r="H1468" s="141"/>
      <c r="J1468" s="141">
        <f t="shared" si="45"/>
        <v>1.0299999999999998</v>
      </c>
      <c r="K1468" s="141">
        <f t="shared" si="46"/>
        <v>48552.959999999999</v>
      </c>
    </row>
    <row r="1469" spans="1:11">
      <c r="A1469" s="141">
        <v>1469</v>
      </c>
      <c r="B1469" s="142">
        <v>43562</v>
      </c>
      <c r="C1469" s="149">
        <v>10.199999999999999</v>
      </c>
      <c r="D1469" s="141">
        <v>15247.999999999998</v>
      </c>
      <c r="E1469" s="141"/>
      <c r="F1469" s="141"/>
      <c r="G1469" s="141"/>
      <c r="H1469" s="141"/>
      <c r="J1469" s="141">
        <f t="shared" si="45"/>
        <v>1.27</v>
      </c>
      <c r="K1469" s="141">
        <f t="shared" si="46"/>
        <v>48583.44</v>
      </c>
    </row>
    <row r="1470" spans="1:11">
      <c r="A1470" s="141">
        <v>1470</v>
      </c>
      <c r="B1470" s="142">
        <v>43563</v>
      </c>
      <c r="C1470" s="149">
        <v>12.8</v>
      </c>
      <c r="D1470" s="141">
        <v>15260.799999999997</v>
      </c>
      <c r="E1470" s="141"/>
      <c r="F1470" s="141"/>
      <c r="G1470" s="141"/>
      <c r="H1470" s="141"/>
      <c r="J1470" s="141">
        <f t="shared" si="45"/>
        <v>0.88</v>
      </c>
      <c r="K1470" s="141">
        <f t="shared" si="46"/>
        <v>48604.560000000005</v>
      </c>
    </row>
    <row r="1471" spans="1:11">
      <c r="A1471" s="141">
        <v>1471</v>
      </c>
      <c r="B1471" s="142">
        <v>43564</v>
      </c>
      <c r="C1471" s="149">
        <v>10.600000000000001</v>
      </c>
      <c r="D1471" s="141">
        <v>15271.399999999998</v>
      </c>
      <c r="E1471" s="141"/>
      <c r="F1471" s="141"/>
      <c r="G1471" s="141"/>
      <c r="H1471" s="141"/>
      <c r="J1471" s="141">
        <f t="shared" si="45"/>
        <v>1.2099999999999997</v>
      </c>
      <c r="K1471" s="141">
        <f t="shared" si="46"/>
        <v>48633.600000000006</v>
      </c>
    </row>
    <row r="1472" spans="1:11">
      <c r="A1472" s="141">
        <v>1472</v>
      </c>
      <c r="B1472" s="142">
        <v>43565</v>
      </c>
      <c r="C1472" s="149">
        <v>6.5</v>
      </c>
      <c r="D1472" s="141">
        <v>15277.899999999998</v>
      </c>
      <c r="E1472" s="141"/>
      <c r="F1472" s="141"/>
      <c r="G1472" s="141"/>
      <c r="H1472" s="141"/>
      <c r="J1472" s="141">
        <f t="shared" si="45"/>
        <v>1.825</v>
      </c>
      <c r="K1472" s="141">
        <f t="shared" si="46"/>
        <v>48677.400000000009</v>
      </c>
    </row>
    <row r="1473" spans="1:11">
      <c r="A1473" s="141">
        <v>1473</v>
      </c>
      <c r="B1473" s="142">
        <v>43566</v>
      </c>
      <c r="C1473" s="149">
        <v>4.6000000000000014</v>
      </c>
      <c r="D1473" s="141">
        <v>15282.499999999998</v>
      </c>
      <c r="E1473" s="141"/>
      <c r="F1473" s="141"/>
      <c r="G1473" s="141"/>
      <c r="H1473" s="141"/>
      <c r="J1473" s="141">
        <f t="shared" si="45"/>
        <v>2.11</v>
      </c>
      <c r="K1473" s="141">
        <f t="shared" si="46"/>
        <v>48728.040000000008</v>
      </c>
    </row>
    <row r="1474" spans="1:11">
      <c r="A1474" s="141">
        <v>1474</v>
      </c>
      <c r="B1474" s="142">
        <v>43567</v>
      </c>
      <c r="C1474" s="149">
        <v>3.1000000000000014</v>
      </c>
      <c r="D1474" s="141">
        <v>15285.599999999999</v>
      </c>
      <c r="E1474" s="141"/>
      <c r="F1474" s="141"/>
      <c r="G1474" s="141"/>
      <c r="H1474" s="141"/>
      <c r="J1474" s="141">
        <f t="shared" si="45"/>
        <v>2.335</v>
      </c>
      <c r="K1474" s="141">
        <f t="shared" si="46"/>
        <v>48784.080000000009</v>
      </c>
    </row>
    <row r="1475" spans="1:11">
      <c r="A1475" s="141">
        <v>1475</v>
      </c>
      <c r="B1475" s="142">
        <v>43568</v>
      </c>
      <c r="C1475" s="149">
        <v>4.3999999999999986</v>
      </c>
      <c r="D1475" s="141">
        <v>15289.999999999998</v>
      </c>
      <c r="E1475" s="141"/>
      <c r="F1475" s="141"/>
      <c r="G1475" s="141"/>
      <c r="H1475" s="141"/>
      <c r="J1475" s="141">
        <f t="shared" si="45"/>
        <v>2.14</v>
      </c>
      <c r="K1475" s="141">
        <f t="shared" si="46"/>
        <v>48835.44000000001</v>
      </c>
    </row>
    <row r="1476" spans="1:11">
      <c r="A1476" s="141">
        <v>1476</v>
      </c>
      <c r="B1476" s="142">
        <v>43569</v>
      </c>
      <c r="C1476" s="149">
        <v>4.6000000000000014</v>
      </c>
      <c r="D1476" s="141">
        <v>15294.599999999999</v>
      </c>
      <c r="E1476" s="141"/>
      <c r="F1476" s="141"/>
      <c r="G1476" s="141"/>
      <c r="H1476" s="141"/>
      <c r="J1476" s="141">
        <f t="shared" si="45"/>
        <v>2.11</v>
      </c>
      <c r="K1476" s="141">
        <f t="shared" si="46"/>
        <v>48886.080000000009</v>
      </c>
    </row>
    <row r="1477" spans="1:11">
      <c r="A1477" s="141">
        <v>1477</v>
      </c>
      <c r="B1477" s="142">
        <v>43570</v>
      </c>
      <c r="C1477" s="149">
        <v>8.8000000000000007</v>
      </c>
      <c r="D1477" s="141">
        <v>15303.399999999998</v>
      </c>
      <c r="E1477" s="141"/>
      <c r="F1477" s="141"/>
      <c r="G1477" s="141"/>
      <c r="H1477" s="141"/>
      <c r="J1477" s="141">
        <f t="shared" si="45"/>
        <v>1.48</v>
      </c>
      <c r="K1477" s="141">
        <f t="shared" si="46"/>
        <v>48921.600000000006</v>
      </c>
    </row>
    <row r="1478" spans="1:11">
      <c r="A1478" s="141">
        <v>1478</v>
      </c>
      <c r="B1478" s="142">
        <v>43571</v>
      </c>
      <c r="C1478" s="149">
        <v>8.6999999999999993</v>
      </c>
      <c r="D1478" s="141">
        <v>15312.099999999999</v>
      </c>
      <c r="E1478" s="141"/>
      <c r="F1478" s="141"/>
      <c r="G1478" s="141"/>
      <c r="H1478" s="141"/>
      <c r="J1478" s="141">
        <f t="shared" si="45"/>
        <v>1.4950000000000001</v>
      </c>
      <c r="K1478" s="141">
        <f t="shared" si="46"/>
        <v>48957.48</v>
      </c>
    </row>
    <row r="1479" spans="1:11">
      <c r="A1479" s="141">
        <v>1479</v>
      </c>
      <c r="B1479" s="142">
        <v>43572</v>
      </c>
      <c r="C1479" s="149">
        <v>10.199999999999999</v>
      </c>
      <c r="D1479" s="141">
        <v>15322.3</v>
      </c>
      <c r="E1479" s="141"/>
      <c r="F1479" s="141"/>
      <c r="G1479" s="141"/>
      <c r="H1479" s="141"/>
      <c r="J1479" s="141">
        <f t="shared" ref="J1479:J1542" si="47">J$1+(IF(J$3-$C1479&gt;0,J$3-$C1479,0)*J$2/30)</f>
        <v>1.27</v>
      </c>
      <c r="K1479" s="141">
        <f t="shared" ref="K1479:K1542" si="48">K1478+J1479*24</f>
        <v>48987.960000000006</v>
      </c>
    </row>
    <row r="1480" spans="1:11">
      <c r="A1480" s="141">
        <v>1480</v>
      </c>
      <c r="B1480" s="142">
        <v>43573</v>
      </c>
      <c r="C1480" s="149">
        <v>12.399999999999999</v>
      </c>
      <c r="D1480" s="141">
        <v>15334.699999999999</v>
      </c>
      <c r="E1480" s="141"/>
      <c r="F1480" s="141"/>
      <c r="G1480" s="141"/>
      <c r="H1480" s="141"/>
      <c r="J1480" s="141">
        <f t="shared" si="47"/>
        <v>0.94000000000000017</v>
      </c>
      <c r="K1480" s="141">
        <f t="shared" si="48"/>
        <v>49010.520000000004</v>
      </c>
    </row>
    <row r="1481" spans="1:11">
      <c r="A1481" s="141">
        <v>1481</v>
      </c>
      <c r="B1481" s="142">
        <v>43574</v>
      </c>
      <c r="C1481" s="149">
        <v>14.8</v>
      </c>
      <c r="D1481" s="141">
        <v>15349.499999999998</v>
      </c>
      <c r="E1481" s="141"/>
      <c r="F1481" s="141"/>
      <c r="G1481" s="141"/>
      <c r="H1481" s="141"/>
      <c r="J1481" s="141">
        <f t="shared" si="47"/>
        <v>0.57999999999999985</v>
      </c>
      <c r="K1481" s="141">
        <f t="shared" si="48"/>
        <v>49024.44</v>
      </c>
    </row>
    <row r="1482" spans="1:11">
      <c r="A1482" s="141">
        <v>1482</v>
      </c>
      <c r="B1482" s="142">
        <v>43575</v>
      </c>
      <c r="C1482" s="149">
        <v>14.2</v>
      </c>
      <c r="D1482" s="141">
        <v>15363.699999999999</v>
      </c>
      <c r="E1482" s="141"/>
      <c r="F1482" s="141"/>
      <c r="G1482" s="141"/>
      <c r="H1482" s="141"/>
      <c r="J1482" s="141">
        <f t="shared" si="47"/>
        <v>0.67000000000000015</v>
      </c>
      <c r="K1482" s="141">
        <f t="shared" si="48"/>
        <v>49040.520000000004</v>
      </c>
    </row>
    <row r="1483" spans="1:11">
      <c r="A1483" s="141">
        <v>1483</v>
      </c>
      <c r="B1483" s="142">
        <v>43576</v>
      </c>
      <c r="C1483" s="149">
        <v>13.899999999999999</v>
      </c>
      <c r="D1483" s="141">
        <v>15377.599999999999</v>
      </c>
      <c r="E1483" s="141"/>
      <c r="F1483" s="141"/>
      <c r="G1483" s="141"/>
      <c r="H1483" s="141"/>
      <c r="J1483" s="141">
        <f t="shared" si="47"/>
        <v>0.71500000000000019</v>
      </c>
      <c r="K1483" s="141">
        <f t="shared" si="48"/>
        <v>49057.680000000008</v>
      </c>
    </row>
    <row r="1484" spans="1:11">
      <c r="A1484" s="141">
        <v>1484</v>
      </c>
      <c r="B1484" s="142">
        <v>43577</v>
      </c>
      <c r="C1484" s="149">
        <v>12.600000000000001</v>
      </c>
      <c r="D1484" s="141">
        <v>15390.199999999999</v>
      </c>
      <c r="E1484" s="141"/>
      <c r="F1484" s="141"/>
      <c r="G1484" s="141"/>
      <c r="H1484" s="141"/>
      <c r="J1484" s="141">
        <f t="shared" si="47"/>
        <v>0.90999999999999981</v>
      </c>
      <c r="K1484" s="141">
        <f t="shared" si="48"/>
        <v>49079.520000000004</v>
      </c>
    </row>
    <row r="1485" spans="1:11">
      <c r="A1485" s="141">
        <v>1485</v>
      </c>
      <c r="B1485" s="142">
        <v>43578</v>
      </c>
      <c r="C1485" s="149">
        <v>11.899999999999999</v>
      </c>
      <c r="D1485" s="141">
        <v>15402.099999999999</v>
      </c>
      <c r="E1485" s="141"/>
      <c r="F1485" s="141"/>
      <c r="G1485" s="141"/>
      <c r="H1485" s="141"/>
      <c r="J1485" s="141">
        <f t="shared" si="47"/>
        <v>1.0150000000000001</v>
      </c>
      <c r="K1485" s="141">
        <f t="shared" si="48"/>
        <v>49103.880000000005</v>
      </c>
    </row>
    <row r="1486" spans="1:11">
      <c r="A1486" s="141">
        <v>1486</v>
      </c>
      <c r="B1486" s="142">
        <v>43579</v>
      </c>
      <c r="C1486" s="149">
        <v>15.2</v>
      </c>
      <c r="D1486" s="141">
        <v>15417.3</v>
      </c>
      <c r="E1486" s="141"/>
      <c r="F1486" s="141"/>
      <c r="G1486" s="141"/>
      <c r="H1486" s="141"/>
      <c r="J1486" s="141">
        <f t="shared" si="47"/>
        <v>0.52000000000000013</v>
      </c>
      <c r="K1486" s="141">
        <f t="shared" si="48"/>
        <v>49116.360000000008</v>
      </c>
    </row>
    <row r="1487" spans="1:11">
      <c r="A1487" s="141">
        <v>1487</v>
      </c>
      <c r="B1487" s="142">
        <v>43580</v>
      </c>
      <c r="C1487" s="149">
        <v>17.899999999999999</v>
      </c>
      <c r="D1487" s="141">
        <v>15435.199999999999</v>
      </c>
      <c r="E1487" s="141"/>
      <c r="F1487" s="141"/>
      <c r="G1487" s="141"/>
      <c r="H1487" s="141"/>
      <c r="J1487" s="141">
        <f t="shared" si="47"/>
        <v>0.25</v>
      </c>
      <c r="K1487" s="141">
        <f t="shared" si="48"/>
        <v>49122.360000000008</v>
      </c>
    </row>
    <row r="1488" spans="1:11">
      <c r="A1488" s="141">
        <v>1488</v>
      </c>
      <c r="B1488" s="142">
        <v>43581</v>
      </c>
      <c r="C1488" s="149">
        <v>17.7</v>
      </c>
      <c r="D1488" s="141">
        <v>15452.9</v>
      </c>
      <c r="E1488" s="141"/>
      <c r="F1488" s="141"/>
      <c r="G1488" s="141"/>
      <c r="H1488" s="141"/>
      <c r="J1488" s="141">
        <f t="shared" si="47"/>
        <v>0.25</v>
      </c>
      <c r="K1488" s="141">
        <f t="shared" si="48"/>
        <v>49128.360000000008</v>
      </c>
    </row>
    <row r="1489" spans="1:11">
      <c r="A1489" s="141">
        <v>1489</v>
      </c>
      <c r="B1489" s="142">
        <v>43582</v>
      </c>
      <c r="C1489" s="149">
        <v>11.100000000000001</v>
      </c>
      <c r="D1489" s="141">
        <v>15464</v>
      </c>
      <c r="E1489" s="141"/>
      <c r="F1489" s="141"/>
      <c r="G1489" s="141"/>
      <c r="H1489" s="141"/>
      <c r="J1489" s="141">
        <f t="shared" si="47"/>
        <v>1.1349999999999998</v>
      </c>
      <c r="K1489" s="141">
        <f t="shared" si="48"/>
        <v>49155.600000000006</v>
      </c>
    </row>
    <row r="1490" spans="1:11">
      <c r="A1490" s="141">
        <v>1490</v>
      </c>
      <c r="B1490" s="142">
        <v>43583</v>
      </c>
      <c r="C1490" s="149">
        <v>9.6999999999999993</v>
      </c>
      <c r="D1490" s="141">
        <v>15473.7</v>
      </c>
      <c r="E1490" s="141"/>
      <c r="F1490" s="141"/>
      <c r="G1490" s="141"/>
      <c r="H1490" s="141"/>
      <c r="J1490" s="141">
        <f t="shared" si="47"/>
        <v>1.345</v>
      </c>
      <c r="K1490" s="141">
        <f t="shared" si="48"/>
        <v>49187.880000000005</v>
      </c>
    </row>
    <row r="1491" spans="1:11">
      <c r="A1491" s="141">
        <v>1491</v>
      </c>
      <c r="B1491" s="142">
        <v>43584</v>
      </c>
      <c r="C1491" s="149">
        <v>8</v>
      </c>
      <c r="D1491" s="141">
        <v>15481.7</v>
      </c>
      <c r="E1491" s="141"/>
      <c r="F1491" s="141"/>
      <c r="G1491" s="141"/>
      <c r="H1491" s="141"/>
      <c r="J1491" s="141">
        <f t="shared" si="47"/>
        <v>1.6</v>
      </c>
      <c r="K1491" s="141">
        <f t="shared" si="48"/>
        <v>49226.280000000006</v>
      </c>
    </row>
    <row r="1492" spans="1:11">
      <c r="A1492" s="141">
        <v>1492</v>
      </c>
      <c r="B1492" s="142">
        <v>43585</v>
      </c>
      <c r="C1492" s="149">
        <v>11.2</v>
      </c>
      <c r="D1492" s="141">
        <v>15492.900000000001</v>
      </c>
      <c r="E1492" s="141"/>
      <c r="F1492" s="141"/>
      <c r="G1492" s="141"/>
      <c r="H1492" s="141"/>
      <c r="J1492" s="141">
        <f t="shared" si="47"/>
        <v>1.1200000000000001</v>
      </c>
      <c r="K1492" s="141">
        <f t="shared" si="48"/>
        <v>49253.16</v>
      </c>
    </row>
    <row r="1493" spans="1:11">
      <c r="A1493" s="141">
        <v>1493</v>
      </c>
      <c r="B1493" s="142">
        <v>43586</v>
      </c>
      <c r="C1493" s="149">
        <v>11.3</v>
      </c>
      <c r="D1493" s="141">
        <v>15504.2</v>
      </c>
      <c r="E1493" s="141"/>
      <c r="F1493" s="141"/>
      <c r="G1493" s="141"/>
      <c r="H1493" s="141"/>
      <c r="J1493" s="141">
        <f t="shared" si="47"/>
        <v>1.105</v>
      </c>
      <c r="K1493" s="141">
        <f t="shared" si="48"/>
        <v>49279.68</v>
      </c>
    </row>
    <row r="1494" spans="1:11">
      <c r="A1494" s="141">
        <v>1494</v>
      </c>
      <c r="B1494" s="142">
        <v>43587</v>
      </c>
      <c r="C1494" s="149">
        <v>13.899999999999999</v>
      </c>
      <c r="D1494" s="141">
        <v>15518.1</v>
      </c>
      <c r="E1494" s="141"/>
      <c r="F1494" s="141"/>
      <c r="G1494" s="141"/>
      <c r="H1494" s="141"/>
      <c r="J1494" s="141">
        <f t="shared" si="47"/>
        <v>0.71500000000000019</v>
      </c>
      <c r="K1494" s="141">
        <f t="shared" si="48"/>
        <v>49296.840000000004</v>
      </c>
    </row>
    <row r="1495" spans="1:11">
      <c r="A1495" s="141">
        <v>1495</v>
      </c>
      <c r="B1495" s="142">
        <v>43588</v>
      </c>
      <c r="C1495" s="149">
        <v>9</v>
      </c>
      <c r="D1495" s="141">
        <v>15527.1</v>
      </c>
      <c r="E1495" s="141"/>
      <c r="F1495" s="141"/>
      <c r="G1495" s="141"/>
      <c r="H1495" s="141"/>
      <c r="J1495" s="141">
        <f t="shared" si="47"/>
        <v>1.45</v>
      </c>
      <c r="K1495" s="141">
        <f t="shared" si="48"/>
        <v>49331.640000000007</v>
      </c>
    </row>
    <row r="1496" spans="1:11">
      <c r="A1496" s="141">
        <v>1496</v>
      </c>
      <c r="B1496" s="142">
        <v>43589</v>
      </c>
      <c r="C1496" s="149">
        <v>6.1999999999999993</v>
      </c>
      <c r="D1496" s="141">
        <v>15533.300000000001</v>
      </c>
      <c r="E1496" s="141"/>
      <c r="F1496" s="141"/>
      <c r="G1496" s="141"/>
      <c r="H1496" s="141"/>
      <c r="J1496" s="141">
        <f t="shared" si="47"/>
        <v>1.87</v>
      </c>
      <c r="K1496" s="141">
        <f t="shared" si="48"/>
        <v>49376.520000000004</v>
      </c>
    </row>
    <row r="1497" spans="1:11">
      <c r="A1497" s="141">
        <v>1497</v>
      </c>
      <c r="B1497" s="142">
        <v>43590</v>
      </c>
      <c r="C1497" s="149">
        <v>5.6000000000000014</v>
      </c>
      <c r="D1497" s="141">
        <v>15538.900000000001</v>
      </c>
      <c r="E1497" s="141"/>
      <c r="F1497" s="141"/>
      <c r="G1497" s="141"/>
      <c r="H1497" s="141"/>
      <c r="J1497" s="141">
        <f t="shared" si="47"/>
        <v>1.96</v>
      </c>
      <c r="K1497" s="141">
        <f t="shared" si="48"/>
        <v>49423.560000000005</v>
      </c>
    </row>
    <row r="1498" spans="1:11">
      <c r="A1498" s="141">
        <v>1498</v>
      </c>
      <c r="B1498" s="142">
        <v>43591</v>
      </c>
      <c r="C1498" s="149">
        <v>6.6000000000000014</v>
      </c>
      <c r="D1498" s="141">
        <v>15545.500000000002</v>
      </c>
      <c r="E1498" s="141"/>
      <c r="F1498" s="141"/>
      <c r="G1498" s="141"/>
      <c r="H1498" s="141"/>
      <c r="J1498" s="141">
        <f t="shared" si="47"/>
        <v>1.8099999999999998</v>
      </c>
      <c r="K1498" s="141">
        <f t="shared" si="48"/>
        <v>49467.000000000007</v>
      </c>
    </row>
    <row r="1499" spans="1:11">
      <c r="A1499" s="141">
        <v>1499</v>
      </c>
      <c r="B1499" s="142">
        <v>43592</v>
      </c>
      <c r="C1499" s="149">
        <v>7</v>
      </c>
      <c r="D1499" s="141">
        <v>15552.500000000002</v>
      </c>
      <c r="E1499" s="141"/>
      <c r="F1499" s="141"/>
      <c r="G1499" s="141"/>
      <c r="H1499" s="141"/>
      <c r="J1499" s="141">
        <f t="shared" si="47"/>
        <v>1.75</v>
      </c>
      <c r="K1499" s="141">
        <f t="shared" si="48"/>
        <v>49509.000000000007</v>
      </c>
    </row>
    <row r="1500" spans="1:11">
      <c r="A1500" s="141">
        <v>1500</v>
      </c>
      <c r="B1500" s="142">
        <v>43593</v>
      </c>
      <c r="C1500" s="149">
        <v>11.5</v>
      </c>
      <c r="D1500" s="141">
        <v>15564.000000000002</v>
      </c>
      <c r="E1500" s="141"/>
      <c r="F1500" s="141"/>
      <c r="G1500" s="141"/>
      <c r="H1500" s="141"/>
      <c r="J1500" s="141">
        <f t="shared" si="47"/>
        <v>1.075</v>
      </c>
      <c r="K1500" s="141">
        <f t="shared" si="48"/>
        <v>49534.80000000001</v>
      </c>
    </row>
    <row r="1501" spans="1:11">
      <c r="A1501" s="141">
        <v>1501</v>
      </c>
      <c r="B1501" s="142">
        <v>43594</v>
      </c>
      <c r="C1501" s="149">
        <v>13.3</v>
      </c>
      <c r="D1501" s="141">
        <v>15577.300000000001</v>
      </c>
      <c r="E1501" s="141"/>
      <c r="F1501" s="141"/>
      <c r="G1501" s="141"/>
      <c r="H1501" s="141"/>
      <c r="J1501" s="141">
        <f t="shared" si="47"/>
        <v>0.80499999999999994</v>
      </c>
      <c r="K1501" s="141">
        <f t="shared" si="48"/>
        <v>49554.12000000001</v>
      </c>
    </row>
    <row r="1502" spans="1:11">
      <c r="A1502" s="141">
        <v>1502</v>
      </c>
      <c r="B1502" s="142">
        <v>43595</v>
      </c>
      <c r="C1502" s="149">
        <v>13.399999999999999</v>
      </c>
      <c r="D1502" s="141">
        <v>15590.7</v>
      </c>
      <c r="E1502" s="141"/>
      <c r="F1502" s="141"/>
      <c r="G1502" s="141"/>
      <c r="H1502" s="141"/>
      <c r="J1502" s="141">
        <f t="shared" si="47"/>
        <v>0.79000000000000026</v>
      </c>
      <c r="K1502" s="141">
        <f t="shared" si="48"/>
        <v>49573.080000000009</v>
      </c>
    </row>
    <row r="1503" spans="1:11">
      <c r="A1503" s="141">
        <v>1503</v>
      </c>
      <c r="B1503" s="142">
        <v>43596</v>
      </c>
      <c r="C1503" s="149">
        <v>10.8</v>
      </c>
      <c r="D1503" s="141">
        <v>15601.5</v>
      </c>
      <c r="E1503" s="141"/>
      <c r="F1503" s="141"/>
      <c r="G1503" s="141"/>
      <c r="H1503" s="141"/>
      <c r="J1503" s="141">
        <f t="shared" si="47"/>
        <v>1.18</v>
      </c>
      <c r="K1503" s="141">
        <f t="shared" si="48"/>
        <v>49601.400000000009</v>
      </c>
    </row>
    <row r="1504" spans="1:11">
      <c r="A1504" s="141">
        <v>1504</v>
      </c>
      <c r="B1504" s="142">
        <v>43597</v>
      </c>
      <c r="C1504" s="149">
        <v>9.8999999999999986</v>
      </c>
      <c r="D1504" s="141">
        <v>15611.4</v>
      </c>
      <c r="E1504" s="141"/>
      <c r="F1504" s="141"/>
      <c r="G1504" s="141"/>
      <c r="H1504" s="141"/>
      <c r="J1504" s="141">
        <f t="shared" si="47"/>
        <v>1.3150000000000002</v>
      </c>
      <c r="K1504" s="141">
        <f t="shared" si="48"/>
        <v>49632.960000000006</v>
      </c>
    </row>
    <row r="1505" spans="1:11">
      <c r="A1505" s="141">
        <v>1505</v>
      </c>
      <c r="B1505" s="142">
        <v>43598</v>
      </c>
      <c r="C1505" s="149">
        <v>10.3</v>
      </c>
      <c r="D1505" s="141">
        <v>15621.699999999999</v>
      </c>
      <c r="E1505" s="141"/>
      <c r="F1505" s="141"/>
      <c r="G1505" s="141"/>
      <c r="H1505" s="141"/>
      <c r="J1505" s="141">
        <f t="shared" si="47"/>
        <v>1.2549999999999999</v>
      </c>
      <c r="K1505" s="141">
        <f t="shared" si="48"/>
        <v>49663.080000000009</v>
      </c>
    </row>
    <row r="1506" spans="1:11">
      <c r="A1506" s="141">
        <v>1506</v>
      </c>
      <c r="B1506" s="142">
        <v>43599</v>
      </c>
      <c r="C1506" s="149">
        <v>7.6000000000000014</v>
      </c>
      <c r="D1506" s="141">
        <v>15629.3</v>
      </c>
      <c r="E1506" s="141"/>
      <c r="F1506" s="141"/>
      <c r="G1506" s="141"/>
      <c r="H1506" s="141"/>
      <c r="J1506" s="141">
        <f t="shared" si="47"/>
        <v>1.66</v>
      </c>
      <c r="K1506" s="141">
        <f t="shared" si="48"/>
        <v>49702.920000000006</v>
      </c>
    </row>
    <row r="1507" spans="1:11">
      <c r="A1507" s="141">
        <v>1507</v>
      </c>
      <c r="B1507" s="142">
        <v>43600</v>
      </c>
      <c r="C1507" s="149">
        <v>6</v>
      </c>
      <c r="D1507" s="141">
        <v>15635.3</v>
      </c>
      <c r="E1507" s="141"/>
      <c r="F1507" s="141"/>
      <c r="G1507" s="141"/>
      <c r="H1507" s="141"/>
      <c r="J1507" s="141">
        <f t="shared" si="47"/>
        <v>1.9</v>
      </c>
      <c r="K1507" s="141">
        <f t="shared" si="48"/>
        <v>49748.520000000004</v>
      </c>
    </row>
    <row r="1508" spans="1:11">
      <c r="A1508" s="141">
        <v>1508</v>
      </c>
      <c r="B1508" s="142">
        <v>43601</v>
      </c>
      <c r="C1508" s="149">
        <v>7.8000000000000007</v>
      </c>
      <c r="D1508" s="141">
        <v>15643.099999999999</v>
      </c>
      <c r="E1508" s="141"/>
      <c r="F1508" s="141"/>
      <c r="G1508" s="141"/>
      <c r="H1508" s="141"/>
      <c r="J1508" s="141">
        <f t="shared" si="47"/>
        <v>1.63</v>
      </c>
      <c r="K1508" s="141">
        <f t="shared" si="48"/>
        <v>49787.640000000007</v>
      </c>
    </row>
    <row r="1509" spans="1:11">
      <c r="A1509" s="141">
        <v>1509</v>
      </c>
      <c r="B1509" s="142">
        <v>43602</v>
      </c>
      <c r="C1509" s="149">
        <v>12</v>
      </c>
      <c r="D1509" s="141">
        <v>15655.099999999999</v>
      </c>
      <c r="E1509" s="141"/>
      <c r="F1509" s="141"/>
      <c r="G1509" s="141"/>
      <c r="H1509" s="141"/>
      <c r="J1509" s="141">
        <f t="shared" si="47"/>
        <v>1</v>
      </c>
      <c r="K1509" s="141">
        <f t="shared" si="48"/>
        <v>49811.640000000007</v>
      </c>
    </row>
    <row r="1510" spans="1:11">
      <c r="A1510" s="141">
        <v>1510</v>
      </c>
      <c r="B1510" s="142">
        <v>43603</v>
      </c>
      <c r="C1510" s="149">
        <v>14.1</v>
      </c>
      <c r="D1510" s="141">
        <v>15669.199999999999</v>
      </c>
      <c r="E1510" s="141"/>
      <c r="F1510" s="141"/>
      <c r="G1510" s="141"/>
      <c r="H1510" s="141"/>
      <c r="J1510" s="141">
        <f t="shared" si="47"/>
        <v>0.68500000000000005</v>
      </c>
      <c r="K1510" s="141">
        <f t="shared" si="48"/>
        <v>49828.080000000009</v>
      </c>
    </row>
    <row r="1511" spans="1:11">
      <c r="A1511" s="141">
        <v>1511</v>
      </c>
      <c r="B1511" s="142">
        <v>43604</v>
      </c>
      <c r="C1511" s="149">
        <v>17.100000000000001</v>
      </c>
      <c r="D1511" s="141">
        <v>15686.3</v>
      </c>
      <c r="E1511" s="141"/>
      <c r="F1511" s="141"/>
      <c r="G1511" s="141"/>
      <c r="H1511" s="141"/>
      <c r="J1511" s="141">
        <f t="shared" si="47"/>
        <v>0.25</v>
      </c>
      <c r="K1511" s="141">
        <f t="shared" si="48"/>
        <v>49834.080000000009</v>
      </c>
    </row>
    <row r="1512" spans="1:11">
      <c r="A1512" s="141">
        <v>1512</v>
      </c>
      <c r="B1512" s="142">
        <v>43605</v>
      </c>
      <c r="C1512" s="149">
        <v>14.4</v>
      </c>
      <c r="D1512" s="141">
        <v>15700.699999999999</v>
      </c>
      <c r="E1512" s="141"/>
      <c r="F1512" s="141"/>
      <c r="G1512" s="141"/>
      <c r="H1512" s="141"/>
      <c r="J1512" s="141">
        <f t="shared" si="47"/>
        <v>0.6399999999999999</v>
      </c>
      <c r="K1512" s="141">
        <f t="shared" si="48"/>
        <v>49849.44000000001</v>
      </c>
    </row>
    <row r="1513" spans="1:11">
      <c r="A1513" s="141">
        <v>1513</v>
      </c>
      <c r="B1513" s="142">
        <v>43606</v>
      </c>
      <c r="C1513" s="149">
        <v>15.2</v>
      </c>
      <c r="D1513" s="141">
        <v>15715.9</v>
      </c>
      <c r="E1513" s="141"/>
      <c r="F1513" s="141"/>
      <c r="G1513" s="141"/>
      <c r="H1513" s="141"/>
      <c r="J1513" s="141">
        <f t="shared" si="47"/>
        <v>0.52000000000000013</v>
      </c>
      <c r="K1513" s="141">
        <f t="shared" si="48"/>
        <v>49861.920000000013</v>
      </c>
    </row>
    <row r="1514" spans="1:11">
      <c r="A1514" s="141">
        <v>1514</v>
      </c>
      <c r="B1514" s="142">
        <v>43607</v>
      </c>
      <c r="C1514" s="149">
        <v>13.100000000000001</v>
      </c>
      <c r="D1514" s="141">
        <v>15729</v>
      </c>
      <c r="E1514" s="141"/>
      <c r="F1514" s="141"/>
      <c r="G1514" s="141"/>
      <c r="H1514" s="141"/>
      <c r="J1514" s="141">
        <f t="shared" si="47"/>
        <v>0.83499999999999974</v>
      </c>
      <c r="K1514" s="141">
        <f t="shared" si="48"/>
        <v>49881.960000000014</v>
      </c>
    </row>
    <row r="1515" spans="1:11">
      <c r="A1515" s="141">
        <v>1515</v>
      </c>
      <c r="B1515" s="142">
        <v>43608</v>
      </c>
      <c r="C1515" s="149">
        <v>13</v>
      </c>
      <c r="D1515" s="141">
        <v>15742</v>
      </c>
      <c r="E1515" s="141"/>
      <c r="F1515" s="141"/>
      <c r="G1515" s="141"/>
      <c r="H1515" s="141"/>
      <c r="J1515" s="141">
        <f t="shared" si="47"/>
        <v>0.85</v>
      </c>
      <c r="K1515" s="141">
        <f t="shared" si="48"/>
        <v>49902.360000000015</v>
      </c>
    </row>
    <row r="1516" spans="1:11">
      <c r="A1516" s="141">
        <v>1516</v>
      </c>
      <c r="B1516" s="142">
        <v>43609</v>
      </c>
      <c r="C1516" s="149">
        <v>14.5</v>
      </c>
      <c r="D1516" s="141">
        <v>15756.5</v>
      </c>
      <c r="E1516" s="141"/>
      <c r="F1516" s="141"/>
      <c r="G1516" s="141"/>
      <c r="H1516" s="141"/>
      <c r="J1516" s="141">
        <f t="shared" si="47"/>
        <v>0.625</v>
      </c>
      <c r="K1516" s="141">
        <f t="shared" si="48"/>
        <v>49917.360000000015</v>
      </c>
    </row>
    <row r="1517" spans="1:11">
      <c r="A1517" s="141">
        <v>1517</v>
      </c>
      <c r="B1517" s="142">
        <v>43610</v>
      </c>
      <c r="C1517" s="149">
        <v>16.399999999999999</v>
      </c>
      <c r="D1517" s="141">
        <v>15772.9</v>
      </c>
      <c r="E1517" s="141"/>
      <c r="F1517" s="141"/>
      <c r="G1517" s="141"/>
      <c r="H1517" s="141"/>
      <c r="J1517" s="141">
        <f t="shared" si="47"/>
        <v>0.34000000000000019</v>
      </c>
      <c r="K1517" s="141">
        <f t="shared" si="48"/>
        <v>49925.520000000019</v>
      </c>
    </row>
    <row r="1518" spans="1:11">
      <c r="A1518" s="141">
        <v>1518</v>
      </c>
      <c r="B1518" s="142">
        <v>43611</v>
      </c>
      <c r="C1518" s="149">
        <v>16.8</v>
      </c>
      <c r="D1518" s="141">
        <v>15789.699999999999</v>
      </c>
      <c r="E1518" s="141"/>
      <c r="F1518" s="141"/>
      <c r="G1518" s="141"/>
      <c r="H1518" s="141"/>
      <c r="J1518" s="141">
        <f t="shared" si="47"/>
        <v>0.27999999999999992</v>
      </c>
      <c r="K1518" s="141">
        <f t="shared" si="48"/>
        <v>49932.24000000002</v>
      </c>
    </row>
    <row r="1519" spans="1:11">
      <c r="A1519" s="141">
        <v>1519</v>
      </c>
      <c r="B1519" s="142">
        <v>43612</v>
      </c>
      <c r="C1519" s="149">
        <v>18.3</v>
      </c>
      <c r="D1519" s="141">
        <v>15807.999999999998</v>
      </c>
      <c r="E1519" s="141"/>
      <c r="F1519" s="141"/>
      <c r="G1519" s="141"/>
      <c r="H1519" s="141"/>
      <c r="J1519" s="141">
        <f t="shared" si="47"/>
        <v>0.25</v>
      </c>
      <c r="K1519" s="141">
        <f t="shared" si="48"/>
        <v>49938.24000000002</v>
      </c>
    </row>
    <row r="1520" spans="1:11">
      <c r="A1520" s="141">
        <v>1520</v>
      </c>
      <c r="B1520" s="142">
        <v>43613</v>
      </c>
      <c r="C1520" s="149">
        <v>14.3</v>
      </c>
      <c r="D1520" s="141">
        <v>15822.299999999997</v>
      </c>
      <c r="E1520" s="141"/>
      <c r="F1520" s="141"/>
      <c r="G1520" s="141"/>
      <c r="H1520" s="141"/>
      <c r="J1520" s="141">
        <f t="shared" si="47"/>
        <v>0.65499999999999992</v>
      </c>
      <c r="K1520" s="141">
        <f t="shared" si="48"/>
        <v>49953.960000000021</v>
      </c>
    </row>
    <row r="1521" spans="1:11">
      <c r="A1521" s="141">
        <v>1521</v>
      </c>
      <c r="B1521" s="142">
        <v>43614</v>
      </c>
      <c r="C1521" s="149">
        <v>12.399999999999999</v>
      </c>
      <c r="D1521" s="141">
        <v>15834.699999999997</v>
      </c>
      <c r="E1521" s="141"/>
      <c r="F1521" s="141"/>
      <c r="G1521" s="141"/>
      <c r="H1521" s="141"/>
      <c r="J1521" s="141">
        <f t="shared" si="47"/>
        <v>0.94000000000000017</v>
      </c>
      <c r="K1521" s="141">
        <f t="shared" si="48"/>
        <v>49976.520000000019</v>
      </c>
    </row>
    <row r="1522" spans="1:11">
      <c r="A1522" s="141">
        <v>1522</v>
      </c>
      <c r="B1522" s="142">
        <v>43615</v>
      </c>
      <c r="C1522" s="149">
        <v>13.5</v>
      </c>
      <c r="D1522" s="141">
        <v>15848.199999999997</v>
      </c>
      <c r="E1522" s="141"/>
      <c r="F1522" s="141"/>
      <c r="G1522" s="141"/>
      <c r="H1522" s="141"/>
      <c r="J1522" s="141">
        <f t="shared" si="47"/>
        <v>0.77500000000000002</v>
      </c>
      <c r="K1522" s="141">
        <f t="shared" si="48"/>
        <v>49995.120000000017</v>
      </c>
    </row>
    <row r="1523" spans="1:11">
      <c r="A1523" s="141">
        <v>1523</v>
      </c>
      <c r="B1523" s="142">
        <v>43616</v>
      </c>
      <c r="C1523" s="149">
        <v>16.8</v>
      </c>
      <c r="D1523" s="141">
        <v>15864.999999999996</v>
      </c>
      <c r="E1523" s="141"/>
      <c r="F1523" s="141"/>
      <c r="G1523" s="141"/>
      <c r="H1523" s="141"/>
      <c r="J1523" s="141">
        <f t="shared" si="47"/>
        <v>0.27999999999999992</v>
      </c>
      <c r="K1523" s="141">
        <f t="shared" si="48"/>
        <v>50001.840000000018</v>
      </c>
    </row>
    <row r="1524" spans="1:11">
      <c r="A1524" s="141">
        <v>1524</v>
      </c>
      <c r="B1524" s="142">
        <v>43617</v>
      </c>
      <c r="C1524" s="149">
        <v>20.3</v>
      </c>
      <c r="D1524" s="141">
        <v>15885.299999999996</v>
      </c>
      <c r="E1524" s="141"/>
      <c r="F1524" s="141"/>
      <c r="G1524" s="141"/>
      <c r="H1524" s="141"/>
      <c r="J1524" s="141">
        <f t="shared" si="47"/>
        <v>0.25</v>
      </c>
      <c r="K1524" s="141">
        <f t="shared" si="48"/>
        <v>50007.840000000018</v>
      </c>
    </row>
    <row r="1525" spans="1:11">
      <c r="A1525" s="141">
        <v>1525</v>
      </c>
      <c r="B1525" s="142">
        <v>43618</v>
      </c>
      <c r="C1525" s="149">
        <v>21.6</v>
      </c>
      <c r="D1525" s="141">
        <v>15906.899999999996</v>
      </c>
      <c r="E1525" s="141"/>
      <c r="F1525" s="141"/>
      <c r="G1525" s="141"/>
      <c r="H1525" s="141"/>
      <c r="J1525" s="141">
        <f t="shared" si="47"/>
        <v>0.25</v>
      </c>
      <c r="K1525" s="141">
        <f t="shared" si="48"/>
        <v>50013.840000000018</v>
      </c>
    </row>
    <row r="1526" spans="1:11">
      <c r="A1526" s="141">
        <v>1526</v>
      </c>
      <c r="B1526" s="142">
        <v>43619</v>
      </c>
      <c r="C1526" s="149">
        <v>22.8</v>
      </c>
      <c r="D1526" s="141">
        <v>15929.699999999995</v>
      </c>
      <c r="E1526" s="141"/>
      <c r="F1526" s="141"/>
      <c r="G1526" s="141"/>
      <c r="H1526" s="141"/>
      <c r="J1526" s="141">
        <f t="shared" si="47"/>
        <v>0.25</v>
      </c>
      <c r="K1526" s="141">
        <f t="shared" si="48"/>
        <v>50019.840000000018</v>
      </c>
    </row>
    <row r="1527" spans="1:11">
      <c r="A1527" s="141">
        <v>1527</v>
      </c>
      <c r="B1527" s="142">
        <v>43620</v>
      </c>
      <c r="C1527" s="149">
        <v>22.7</v>
      </c>
      <c r="D1527" s="141">
        <v>15952.399999999996</v>
      </c>
      <c r="E1527" s="141"/>
      <c r="F1527" s="141"/>
      <c r="G1527" s="141"/>
      <c r="H1527" s="141"/>
      <c r="J1527" s="141">
        <f t="shared" si="47"/>
        <v>0.25</v>
      </c>
      <c r="K1527" s="141">
        <f t="shared" si="48"/>
        <v>50025.840000000018</v>
      </c>
    </row>
    <row r="1528" spans="1:11">
      <c r="A1528" s="141">
        <v>1528</v>
      </c>
      <c r="B1528" s="142">
        <v>43621</v>
      </c>
      <c r="C1528" s="149">
        <v>23.1</v>
      </c>
      <c r="D1528" s="141">
        <v>15975.499999999996</v>
      </c>
      <c r="E1528" s="141"/>
      <c r="F1528" s="141"/>
      <c r="G1528" s="141"/>
      <c r="H1528" s="141"/>
      <c r="J1528" s="141">
        <f t="shared" si="47"/>
        <v>0.25</v>
      </c>
      <c r="K1528" s="141">
        <f t="shared" si="48"/>
        <v>50031.840000000018</v>
      </c>
    </row>
    <row r="1529" spans="1:11">
      <c r="A1529" s="141">
        <v>1529</v>
      </c>
      <c r="B1529" s="142">
        <v>43622</v>
      </c>
      <c r="C1529" s="149">
        <v>19.5</v>
      </c>
      <c r="D1529" s="141">
        <v>15994.999999999996</v>
      </c>
      <c r="E1529" s="141"/>
      <c r="F1529" s="141"/>
      <c r="G1529" s="141"/>
      <c r="H1529" s="141"/>
      <c r="J1529" s="141">
        <f t="shared" si="47"/>
        <v>0.25</v>
      </c>
      <c r="K1529" s="141">
        <f t="shared" si="48"/>
        <v>50037.840000000018</v>
      </c>
    </row>
    <row r="1530" spans="1:11">
      <c r="A1530" s="141">
        <v>1530</v>
      </c>
      <c r="B1530" s="142">
        <v>43623</v>
      </c>
      <c r="C1530" s="149">
        <v>18.7</v>
      </c>
      <c r="D1530" s="141">
        <v>16013.699999999997</v>
      </c>
      <c r="E1530" s="141"/>
      <c r="F1530" s="141"/>
      <c r="G1530" s="141"/>
      <c r="H1530" s="141"/>
      <c r="J1530" s="141">
        <f t="shared" si="47"/>
        <v>0.25</v>
      </c>
      <c r="K1530" s="141">
        <f t="shared" si="48"/>
        <v>50043.840000000018</v>
      </c>
    </row>
    <row r="1531" spans="1:11">
      <c r="A1531" s="141">
        <v>1531</v>
      </c>
      <c r="B1531" s="142">
        <v>43624</v>
      </c>
      <c r="C1531" s="149">
        <v>18.600000000000001</v>
      </c>
      <c r="D1531" s="141">
        <v>16032.299999999997</v>
      </c>
      <c r="E1531" s="141"/>
      <c r="F1531" s="141"/>
      <c r="G1531" s="141"/>
      <c r="H1531" s="141"/>
      <c r="J1531" s="141">
        <f t="shared" si="47"/>
        <v>0.25</v>
      </c>
      <c r="K1531" s="141">
        <f t="shared" si="48"/>
        <v>50049.840000000018</v>
      </c>
    </row>
    <row r="1532" spans="1:11">
      <c r="A1532" s="141">
        <v>1532</v>
      </c>
      <c r="B1532" s="142">
        <v>43625</v>
      </c>
      <c r="C1532" s="149">
        <v>18.600000000000001</v>
      </c>
      <c r="D1532" s="141">
        <v>16050.899999999998</v>
      </c>
      <c r="E1532" s="141"/>
      <c r="F1532" s="141"/>
      <c r="G1532" s="141"/>
      <c r="H1532" s="141"/>
      <c r="J1532" s="141">
        <f t="shared" si="47"/>
        <v>0.25</v>
      </c>
      <c r="K1532" s="141">
        <f t="shared" si="48"/>
        <v>50055.840000000018</v>
      </c>
    </row>
    <row r="1533" spans="1:11">
      <c r="A1533" s="141">
        <v>1533</v>
      </c>
      <c r="B1533" s="142">
        <v>43626</v>
      </c>
      <c r="C1533" s="149">
        <v>23</v>
      </c>
      <c r="D1533" s="141">
        <v>16073.899999999998</v>
      </c>
      <c r="E1533" s="141"/>
      <c r="F1533" s="141"/>
      <c r="G1533" s="141"/>
      <c r="H1533" s="141"/>
      <c r="J1533" s="141">
        <f t="shared" si="47"/>
        <v>0.25</v>
      </c>
      <c r="K1533" s="141">
        <f t="shared" si="48"/>
        <v>50061.840000000018</v>
      </c>
    </row>
    <row r="1534" spans="1:11">
      <c r="A1534" s="141">
        <v>1534</v>
      </c>
      <c r="B1534" s="142">
        <v>43627</v>
      </c>
      <c r="C1534" s="149">
        <v>25.2</v>
      </c>
      <c r="D1534" s="141">
        <v>16099.099999999999</v>
      </c>
      <c r="E1534" s="141"/>
      <c r="F1534" s="141"/>
      <c r="G1534" s="141"/>
      <c r="H1534" s="141"/>
      <c r="J1534" s="141">
        <f t="shared" si="47"/>
        <v>0.25</v>
      </c>
      <c r="K1534" s="141">
        <f t="shared" si="48"/>
        <v>50067.840000000018</v>
      </c>
    </row>
    <row r="1535" spans="1:11">
      <c r="A1535" s="141">
        <v>1535</v>
      </c>
      <c r="B1535" s="142">
        <v>43628</v>
      </c>
      <c r="C1535" s="149">
        <v>24.1</v>
      </c>
      <c r="D1535" s="141">
        <v>16123.199999999999</v>
      </c>
      <c r="E1535" s="141"/>
      <c r="F1535" s="141"/>
      <c r="G1535" s="141"/>
      <c r="H1535" s="141"/>
      <c r="J1535" s="141">
        <f t="shared" si="47"/>
        <v>0.25</v>
      </c>
      <c r="K1535" s="141">
        <f t="shared" si="48"/>
        <v>50073.840000000018</v>
      </c>
    </row>
    <row r="1536" spans="1:11">
      <c r="A1536" s="141">
        <v>1536</v>
      </c>
      <c r="B1536" s="142">
        <v>43629</v>
      </c>
      <c r="C1536" s="149">
        <v>20</v>
      </c>
      <c r="D1536" s="141">
        <v>16143.199999999999</v>
      </c>
      <c r="E1536" s="141"/>
      <c r="F1536" s="141"/>
      <c r="G1536" s="141"/>
      <c r="H1536" s="141"/>
      <c r="J1536" s="141">
        <f t="shared" si="47"/>
        <v>0.25</v>
      </c>
      <c r="K1536" s="141">
        <f t="shared" si="48"/>
        <v>50079.840000000018</v>
      </c>
    </row>
    <row r="1537" spans="1:11">
      <c r="A1537" s="141">
        <v>1537</v>
      </c>
      <c r="B1537" s="142">
        <v>43630</v>
      </c>
      <c r="C1537" s="149">
        <v>23.2</v>
      </c>
      <c r="D1537" s="141">
        <v>16166.4</v>
      </c>
      <c r="E1537" s="141"/>
      <c r="F1537" s="141"/>
      <c r="G1537" s="141"/>
      <c r="H1537" s="141"/>
      <c r="J1537" s="141">
        <f t="shared" si="47"/>
        <v>0.25</v>
      </c>
      <c r="K1537" s="141">
        <f t="shared" si="48"/>
        <v>50085.840000000018</v>
      </c>
    </row>
    <row r="1538" spans="1:11">
      <c r="A1538" s="141">
        <v>1538</v>
      </c>
      <c r="B1538" s="142">
        <v>43631</v>
      </c>
      <c r="C1538" s="149">
        <v>24.2</v>
      </c>
      <c r="D1538" s="141">
        <v>16190.6</v>
      </c>
      <c r="E1538" s="141"/>
      <c r="F1538" s="141"/>
      <c r="G1538" s="141"/>
      <c r="H1538" s="141"/>
      <c r="J1538" s="141">
        <f t="shared" si="47"/>
        <v>0.25</v>
      </c>
      <c r="K1538" s="141">
        <f t="shared" si="48"/>
        <v>50091.840000000018</v>
      </c>
    </row>
    <row r="1539" spans="1:11">
      <c r="A1539" s="141">
        <v>1539</v>
      </c>
      <c r="B1539" s="142">
        <v>43632</v>
      </c>
      <c r="C1539" s="149">
        <v>18.899999999999999</v>
      </c>
      <c r="D1539" s="141">
        <v>16209.5</v>
      </c>
      <c r="E1539" s="141"/>
      <c r="F1539" s="141"/>
      <c r="G1539" s="141"/>
      <c r="H1539" s="141"/>
      <c r="J1539" s="141">
        <f t="shared" si="47"/>
        <v>0.25</v>
      </c>
      <c r="K1539" s="141">
        <f t="shared" si="48"/>
        <v>50097.840000000018</v>
      </c>
    </row>
    <row r="1540" spans="1:11">
      <c r="A1540" s="141">
        <v>1540</v>
      </c>
      <c r="B1540" s="142">
        <v>43633</v>
      </c>
      <c r="C1540" s="149">
        <v>20.100000000000001</v>
      </c>
      <c r="D1540" s="141">
        <v>16229.6</v>
      </c>
      <c r="E1540" s="141"/>
      <c r="F1540" s="141"/>
      <c r="G1540" s="141"/>
      <c r="H1540" s="141"/>
      <c r="J1540" s="141">
        <f t="shared" si="47"/>
        <v>0.25</v>
      </c>
      <c r="K1540" s="141">
        <f t="shared" si="48"/>
        <v>50103.840000000018</v>
      </c>
    </row>
    <row r="1541" spans="1:11">
      <c r="A1541" s="141">
        <v>1541</v>
      </c>
      <c r="B1541" s="142">
        <v>43634</v>
      </c>
      <c r="C1541" s="149">
        <v>20.9</v>
      </c>
      <c r="D1541" s="141">
        <v>16250.5</v>
      </c>
      <c r="E1541" s="141"/>
      <c r="F1541" s="141"/>
      <c r="G1541" s="141"/>
      <c r="H1541" s="141"/>
      <c r="J1541" s="141">
        <f t="shared" si="47"/>
        <v>0.25</v>
      </c>
      <c r="K1541" s="141">
        <f t="shared" si="48"/>
        <v>50109.840000000018</v>
      </c>
    </row>
    <row r="1542" spans="1:11">
      <c r="A1542" s="141">
        <v>1542</v>
      </c>
      <c r="B1542" s="142">
        <v>43635</v>
      </c>
      <c r="C1542" s="149">
        <v>21.4</v>
      </c>
      <c r="D1542" s="141">
        <v>16271.9</v>
      </c>
      <c r="E1542" s="141"/>
      <c r="F1542" s="141"/>
      <c r="G1542" s="141"/>
      <c r="H1542" s="141"/>
      <c r="J1542" s="141">
        <f t="shared" si="47"/>
        <v>0.25</v>
      </c>
      <c r="K1542" s="141">
        <f t="shared" si="48"/>
        <v>50115.840000000018</v>
      </c>
    </row>
    <row r="1543" spans="1:11">
      <c r="A1543" s="141">
        <v>1543</v>
      </c>
      <c r="B1543" s="142">
        <v>43636</v>
      </c>
      <c r="C1543" s="149">
        <v>21.8</v>
      </c>
      <c r="D1543" s="141">
        <v>16293.699999999999</v>
      </c>
      <c r="E1543" s="141"/>
      <c r="F1543" s="141"/>
      <c r="G1543" s="141"/>
      <c r="H1543" s="141"/>
      <c r="J1543" s="141">
        <f t="shared" ref="J1543:J1606" si="49">J$1+(IF(J$3-$C1543&gt;0,J$3-$C1543,0)*J$2/30)</f>
        <v>0.25</v>
      </c>
      <c r="K1543" s="141">
        <f t="shared" ref="K1543:K1606" si="50">K1542+J1543*24</f>
        <v>50121.840000000018</v>
      </c>
    </row>
    <row r="1544" spans="1:11">
      <c r="A1544" s="141">
        <v>1544</v>
      </c>
      <c r="B1544" s="142">
        <v>43637</v>
      </c>
      <c r="C1544" s="149">
        <v>21.2</v>
      </c>
      <c r="D1544" s="141">
        <v>16314.9</v>
      </c>
      <c r="E1544" s="141"/>
      <c r="F1544" s="141"/>
      <c r="G1544" s="141"/>
      <c r="H1544" s="141"/>
      <c r="J1544" s="141">
        <f t="shared" si="49"/>
        <v>0.25</v>
      </c>
      <c r="K1544" s="141">
        <f t="shared" si="50"/>
        <v>50127.840000000018</v>
      </c>
    </row>
    <row r="1545" spans="1:11">
      <c r="A1545" s="141">
        <v>1545</v>
      </c>
      <c r="B1545" s="142">
        <v>43638</v>
      </c>
      <c r="C1545" s="149">
        <v>20.5</v>
      </c>
      <c r="D1545" s="141">
        <v>16335.4</v>
      </c>
      <c r="E1545" s="141"/>
      <c r="F1545" s="141"/>
      <c r="G1545" s="141"/>
      <c r="H1545" s="141"/>
      <c r="J1545" s="141">
        <f t="shared" si="49"/>
        <v>0.25</v>
      </c>
      <c r="K1545" s="141">
        <f t="shared" si="50"/>
        <v>50133.840000000018</v>
      </c>
    </row>
    <row r="1546" spans="1:11">
      <c r="A1546" s="141">
        <v>1546</v>
      </c>
      <c r="B1546" s="142">
        <v>43639</v>
      </c>
      <c r="C1546" s="149">
        <v>20.6</v>
      </c>
      <c r="D1546" s="141">
        <v>16356</v>
      </c>
      <c r="E1546" s="141"/>
      <c r="F1546" s="141"/>
      <c r="G1546" s="141"/>
      <c r="H1546" s="141"/>
      <c r="J1546" s="141">
        <f t="shared" si="49"/>
        <v>0.25</v>
      </c>
      <c r="K1546" s="141">
        <f t="shared" si="50"/>
        <v>50139.840000000018</v>
      </c>
    </row>
    <row r="1547" spans="1:11">
      <c r="A1547" s="141">
        <v>1547</v>
      </c>
      <c r="B1547" s="142">
        <v>43640</v>
      </c>
      <c r="C1547" s="149">
        <v>21.8</v>
      </c>
      <c r="D1547" s="141">
        <v>16377.8</v>
      </c>
      <c r="E1547" s="141"/>
      <c r="F1547" s="141"/>
      <c r="G1547" s="141"/>
      <c r="H1547" s="141"/>
      <c r="J1547" s="141">
        <f t="shared" si="49"/>
        <v>0.25</v>
      </c>
      <c r="K1547" s="141">
        <f t="shared" si="50"/>
        <v>50145.840000000018</v>
      </c>
    </row>
    <row r="1548" spans="1:11">
      <c r="A1548" s="141">
        <v>1548</v>
      </c>
      <c r="B1548" s="142">
        <v>43641</v>
      </c>
      <c r="C1548" s="149">
        <v>24.4</v>
      </c>
      <c r="D1548" s="141">
        <v>16402.2</v>
      </c>
      <c r="E1548" s="141"/>
      <c r="F1548" s="141"/>
      <c r="G1548" s="141"/>
      <c r="H1548" s="141"/>
      <c r="J1548" s="141">
        <f t="shared" si="49"/>
        <v>0.25</v>
      </c>
      <c r="K1548" s="141">
        <f t="shared" si="50"/>
        <v>50151.840000000018</v>
      </c>
    </row>
    <row r="1549" spans="1:11">
      <c r="A1549" s="141">
        <v>1549</v>
      </c>
      <c r="B1549" s="142">
        <v>43642</v>
      </c>
      <c r="C1549" s="149">
        <v>26.7</v>
      </c>
      <c r="D1549" s="141">
        <v>16428.900000000001</v>
      </c>
      <c r="E1549" s="141"/>
      <c r="F1549" s="141"/>
      <c r="G1549" s="141"/>
      <c r="H1549" s="141"/>
      <c r="J1549" s="141">
        <f t="shared" si="49"/>
        <v>0.25</v>
      </c>
      <c r="K1549" s="141">
        <f t="shared" si="50"/>
        <v>50157.840000000018</v>
      </c>
    </row>
    <row r="1550" spans="1:11">
      <c r="A1550" s="141">
        <v>1550</v>
      </c>
      <c r="B1550" s="142">
        <v>43643</v>
      </c>
      <c r="C1550" s="149">
        <v>25.1</v>
      </c>
      <c r="D1550" s="141">
        <v>16454</v>
      </c>
      <c r="E1550" s="141"/>
      <c r="F1550" s="141"/>
      <c r="G1550" s="141"/>
      <c r="H1550" s="141"/>
      <c r="J1550" s="141">
        <f t="shared" si="49"/>
        <v>0.25</v>
      </c>
      <c r="K1550" s="141">
        <f t="shared" si="50"/>
        <v>50163.840000000018</v>
      </c>
    </row>
    <row r="1551" spans="1:11">
      <c r="A1551" s="141">
        <v>1551</v>
      </c>
      <c r="B1551" s="142">
        <v>43644</v>
      </c>
      <c r="C1551" s="149">
        <v>19.899999999999999</v>
      </c>
      <c r="D1551" s="141">
        <v>16473.900000000001</v>
      </c>
      <c r="E1551" s="141"/>
      <c r="F1551" s="141"/>
      <c r="G1551" s="141"/>
      <c r="H1551" s="141"/>
      <c r="J1551" s="141">
        <f t="shared" si="49"/>
        <v>0.25</v>
      </c>
      <c r="K1551" s="141">
        <f t="shared" si="50"/>
        <v>50169.840000000018</v>
      </c>
    </row>
    <row r="1552" spans="1:11">
      <c r="A1552" s="141">
        <v>1552</v>
      </c>
      <c r="B1552" s="142">
        <v>43645</v>
      </c>
      <c r="C1552" s="149">
        <v>21.2</v>
      </c>
      <c r="D1552" s="141">
        <v>16495.100000000002</v>
      </c>
      <c r="E1552" s="141"/>
      <c r="F1552" s="141"/>
      <c r="G1552" s="141"/>
      <c r="H1552" s="141"/>
      <c r="J1552" s="141">
        <f t="shared" si="49"/>
        <v>0.25</v>
      </c>
      <c r="K1552" s="141">
        <f t="shared" si="50"/>
        <v>50175.840000000018</v>
      </c>
    </row>
    <row r="1553" spans="1:11">
      <c r="A1553" s="141">
        <v>1553</v>
      </c>
      <c r="B1553" s="142">
        <v>43646</v>
      </c>
      <c r="C1553" s="149">
        <v>25</v>
      </c>
      <c r="D1553" s="141">
        <v>16520.100000000002</v>
      </c>
      <c r="E1553" s="141"/>
      <c r="F1553" s="141"/>
      <c r="G1553" s="141"/>
      <c r="H1553" s="141"/>
      <c r="J1553" s="141">
        <f t="shared" si="49"/>
        <v>0.25</v>
      </c>
      <c r="K1553" s="141">
        <f t="shared" si="50"/>
        <v>50181.840000000018</v>
      </c>
    </row>
    <row r="1554" spans="1:11">
      <c r="A1554" s="141">
        <v>1554</v>
      </c>
      <c r="B1554" s="142">
        <v>43647</v>
      </c>
      <c r="C1554" s="149">
        <v>26.8</v>
      </c>
      <c r="D1554" s="141">
        <v>16546.900000000001</v>
      </c>
      <c r="E1554" s="141"/>
      <c r="F1554" s="141"/>
      <c r="G1554" s="141"/>
      <c r="H1554" s="141"/>
      <c r="J1554" s="141">
        <f t="shared" si="49"/>
        <v>0.25</v>
      </c>
      <c r="K1554" s="141">
        <f t="shared" si="50"/>
        <v>50187.840000000018</v>
      </c>
    </row>
    <row r="1555" spans="1:11">
      <c r="A1555" s="141">
        <v>1555</v>
      </c>
      <c r="B1555" s="142">
        <v>43648</v>
      </c>
      <c r="C1555" s="149">
        <v>21.5</v>
      </c>
      <c r="D1555" s="141">
        <v>16568.400000000001</v>
      </c>
      <c r="E1555" s="141"/>
      <c r="F1555" s="141"/>
      <c r="G1555" s="141"/>
      <c r="H1555" s="141"/>
      <c r="J1555" s="141">
        <f t="shared" si="49"/>
        <v>0.25</v>
      </c>
      <c r="K1555" s="141">
        <f t="shared" si="50"/>
        <v>50193.840000000018</v>
      </c>
    </row>
    <row r="1556" spans="1:11">
      <c r="A1556" s="141">
        <v>1556</v>
      </c>
      <c r="B1556" s="142">
        <v>43649</v>
      </c>
      <c r="C1556" s="149">
        <v>17.8</v>
      </c>
      <c r="D1556" s="141">
        <v>16586.2</v>
      </c>
      <c r="E1556" s="141"/>
      <c r="F1556" s="141"/>
      <c r="G1556" s="141"/>
      <c r="H1556" s="141"/>
      <c r="J1556" s="141">
        <f t="shared" si="49"/>
        <v>0.25</v>
      </c>
      <c r="K1556" s="141">
        <f t="shared" si="50"/>
        <v>50199.840000000018</v>
      </c>
    </row>
    <row r="1557" spans="1:11">
      <c r="A1557" s="141">
        <v>1557</v>
      </c>
      <c r="B1557" s="142">
        <v>43650</v>
      </c>
      <c r="C1557" s="149">
        <v>18.100000000000001</v>
      </c>
      <c r="D1557" s="141">
        <v>16604.3</v>
      </c>
      <c r="E1557" s="141"/>
      <c r="F1557" s="141"/>
      <c r="G1557" s="141"/>
      <c r="H1557" s="141"/>
      <c r="J1557" s="141">
        <f t="shared" si="49"/>
        <v>0.25</v>
      </c>
      <c r="K1557" s="141">
        <f t="shared" si="50"/>
        <v>50205.840000000018</v>
      </c>
    </row>
    <row r="1558" spans="1:11">
      <c r="A1558" s="141">
        <v>1558</v>
      </c>
      <c r="B1558" s="142">
        <v>43651</v>
      </c>
      <c r="C1558" s="149">
        <v>19.600000000000001</v>
      </c>
      <c r="D1558" s="141">
        <v>16623.899999999998</v>
      </c>
      <c r="E1558" s="141"/>
      <c r="F1558" s="141"/>
      <c r="G1558" s="141"/>
      <c r="H1558" s="141"/>
      <c r="J1558" s="141">
        <f t="shared" si="49"/>
        <v>0.25</v>
      </c>
      <c r="K1558" s="141">
        <f t="shared" si="50"/>
        <v>50211.840000000018</v>
      </c>
    </row>
    <row r="1559" spans="1:11">
      <c r="A1559" s="141">
        <v>1559</v>
      </c>
      <c r="B1559" s="142">
        <v>43652</v>
      </c>
      <c r="C1559" s="149">
        <v>22.9</v>
      </c>
      <c r="D1559" s="141">
        <v>16646.8</v>
      </c>
      <c r="E1559" s="141"/>
      <c r="F1559" s="141"/>
      <c r="G1559" s="141"/>
      <c r="H1559" s="141"/>
      <c r="J1559" s="141">
        <f t="shared" si="49"/>
        <v>0.25</v>
      </c>
      <c r="K1559" s="141">
        <f t="shared" si="50"/>
        <v>50217.840000000018</v>
      </c>
    </row>
    <row r="1560" spans="1:11">
      <c r="A1560" s="141">
        <v>1560</v>
      </c>
      <c r="B1560" s="142">
        <v>43653</v>
      </c>
      <c r="C1560" s="149">
        <v>17.399999999999999</v>
      </c>
      <c r="D1560" s="141">
        <v>16664.2</v>
      </c>
      <c r="E1560" s="141"/>
      <c r="F1560" s="141"/>
      <c r="G1560" s="141"/>
      <c r="H1560" s="141"/>
      <c r="J1560" s="141">
        <f t="shared" si="49"/>
        <v>0.25</v>
      </c>
      <c r="K1560" s="141">
        <f t="shared" si="50"/>
        <v>50223.840000000018</v>
      </c>
    </row>
    <row r="1561" spans="1:11">
      <c r="A1561" s="141">
        <v>1561</v>
      </c>
      <c r="B1561" s="142">
        <v>43654</v>
      </c>
      <c r="C1561" s="149">
        <v>15.8</v>
      </c>
      <c r="D1561" s="141">
        <v>16680</v>
      </c>
      <c r="E1561" s="141"/>
      <c r="F1561" s="141"/>
      <c r="G1561" s="141"/>
      <c r="H1561" s="141"/>
      <c r="J1561" s="141">
        <f t="shared" si="49"/>
        <v>0.42999999999999988</v>
      </c>
      <c r="K1561" s="141">
        <f t="shared" si="50"/>
        <v>50234.160000000018</v>
      </c>
    </row>
    <row r="1562" spans="1:11">
      <c r="A1562" s="141">
        <v>1562</v>
      </c>
      <c r="B1562" s="142">
        <v>43655</v>
      </c>
      <c r="C1562" s="149">
        <v>14.7</v>
      </c>
      <c r="D1562" s="141">
        <v>16694.7</v>
      </c>
      <c r="E1562" s="141"/>
      <c r="F1562" s="141"/>
      <c r="G1562" s="141"/>
      <c r="H1562" s="141"/>
      <c r="J1562" s="141">
        <f t="shared" si="49"/>
        <v>0.59500000000000008</v>
      </c>
      <c r="K1562" s="141">
        <f t="shared" si="50"/>
        <v>50248.440000000017</v>
      </c>
    </row>
    <row r="1563" spans="1:11">
      <c r="A1563" s="141">
        <v>1563</v>
      </c>
      <c r="B1563" s="142">
        <v>43656</v>
      </c>
      <c r="C1563" s="149">
        <v>17</v>
      </c>
      <c r="D1563" s="141">
        <v>16711.7</v>
      </c>
      <c r="E1563" s="141"/>
      <c r="F1563" s="141"/>
      <c r="G1563" s="141"/>
      <c r="H1563" s="141"/>
      <c r="J1563" s="141">
        <f t="shared" si="49"/>
        <v>0.25</v>
      </c>
      <c r="K1563" s="141">
        <f t="shared" si="50"/>
        <v>50254.440000000017</v>
      </c>
    </row>
    <row r="1564" spans="1:11">
      <c r="A1564" s="141">
        <v>1564</v>
      </c>
      <c r="B1564" s="142">
        <v>43657</v>
      </c>
      <c r="C1564" s="149">
        <v>18</v>
      </c>
      <c r="D1564" s="141">
        <v>16729.7</v>
      </c>
      <c r="E1564" s="141"/>
      <c r="F1564" s="141"/>
      <c r="G1564" s="141"/>
      <c r="H1564" s="141"/>
      <c r="J1564" s="141">
        <f t="shared" si="49"/>
        <v>0.25</v>
      </c>
      <c r="K1564" s="141">
        <f t="shared" si="50"/>
        <v>50260.440000000017</v>
      </c>
    </row>
    <row r="1565" spans="1:11">
      <c r="A1565" s="141">
        <v>1565</v>
      </c>
      <c r="B1565" s="142">
        <v>43658</v>
      </c>
      <c r="C1565" s="149">
        <v>17</v>
      </c>
      <c r="D1565" s="141">
        <v>16746.7</v>
      </c>
      <c r="E1565" s="141"/>
      <c r="F1565" s="141"/>
      <c r="G1565" s="141"/>
      <c r="H1565" s="141"/>
      <c r="J1565" s="141">
        <f t="shared" si="49"/>
        <v>0.25</v>
      </c>
      <c r="K1565" s="141">
        <f t="shared" si="50"/>
        <v>50266.440000000017</v>
      </c>
    </row>
    <row r="1566" spans="1:11">
      <c r="A1566" s="141">
        <v>1566</v>
      </c>
      <c r="B1566" s="142">
        <v>43659</v>
      </c>
      <c r="C1566" s="149">
        <v>16.5</v>
      </c>
      <c r="D1566" s="141">
        <v>16763.2</v>
      </c>
      <c r="E1566" s="141"/>
      <c r="F1566" s="141"/>
      <c r="G1566" s="141"/>
      <c r="H1566" s="141"/>
      <c r="J1566" s="141">
        <f t="shared" si="49"/>
        <v>0.32500000000000001</v>
      </c>
      <c r="K1566" s="141">
        <f t="shared" si="50"/>
        <v>50274.24000000002</v>
      </c>
    </row>
    <row r="1567" spans="1:11">
      <c r="A1567" s="141">
        <v>1567</v>
      </c>
      <c r="B1567" s="142">
        <v>43660</v>
      </c>
      <c r="C1567" s="149">
        <v>17.399999999999999</v>
      </c>
      <c r="D1567" s="141">
        <v>16780.600000000002</v>
      </c>
      <c r="E1567" s="141"/>
      <c r="F1567" s="141"/>
      <c r="G1567" s="141"/>
      <c r="H1567" s="141"/>
      <c r="J1567" s="141">
        <f t="shared" si="49"/>
        <v>0.25</v>
      </c>
      <c r="K1567" s="141">
        <f t="shared" si="50"/>
        <v>50280.24000000002</v>
      </c>
    </row>
    <row r="1568" spans="1:11">
      <c r="A1568" s="141">
        <v>1568</v>
      </c>
      <c r="B1568" s="142">
        <v>43661</v>
      </c>
      <c r="C1568" s="149">
        <v>17.2</v>
      </c>
      <c r="D1568" s="141">
        <v>16797.800000000003</v>
      </c>
      <c r="E1568" s="141"/>
      <c r="F1568" s="141"/>
      <c r="G1568" s="141"/>
      <c r="H1568" s="141"/>
      <c r="J1568" s="141">
        <f t="shared" si="49"/>
        <v>0.25</v>
      </c>
      <c r="K1568" s="141">
        <f t="shared" si="50"/>
        <v>50286.24000000002</v>
      </c>
    </row>
    <row r="1569" spans="1:11">
      <c r="A1569" s="141">
        <v>1569</v>
      </c>
      <c r="B1569" s="142">
        <v>43662</v>
      </c>
      <c r="C1569" s="149">
        <v>16.3</v>
      </c>
      <c r="D1569" s="141">
        <v>16814.100000000002</v>
      </c>
      <c r="E1569" s="141"/>
      <c r="F1569" s="141"/>
      <c r="G1569" s="141"/>
      <c r="H1569" s="141"/>
      <c r="J1569" s="141">
        <f t="shared" si="49"/>
        <v>0.35499999999999987</v>
      </c>
      <c r="K1569" s="141">
        <f t="shared" si="50"/>
        <v>50294.760000000017</v>
      </c>
    </row>
    <row r="1570" spans="1:11">
      <c r="A1570" s="141">
        <v>1570</v>
      </c>
      <c r="B1570" s="142">
        <v>43663</v>
      </c>
      <c r="C1570" s="149">
        <v>17.600000000000001</v>
      </c>
      <c r="D1570" s="141">
        <v>16831.7</v>
      </c>
      <c r="E1570" s="141"/>
      <c r="F1570" s="141"/>
      <c r="G1570" s="141"/>
      <c r="H1570" s="141"/>
      <c r="J1570" s="141">
        <f t="shared" si="49"/>
        <v>0.25</v>
      </c>
      <c r="K1570" s="141">
        <f t="shared" si="50"/>
        <v>50300.760000000017</v>
      </c>
    </row>
    <row r="1571" spans="1:11">
      <c r="A1571" s="141">
        <v>1571</v>
      </c>
      <c r="B1571" s="142">
        <v>43664</v>
      </c>
      <c r="C1571" s="149">
        <v>19.899999999999999</v>
      </c>
      <c r="D1571" s="141">
        <v>16851.600000000002</v>
      </c>
      <c r="E1571" s="141"/>
      <c r="F1571" s="141"/>
      <c r="G1571" s="141"/>
      <c r="H1571" s="141"/>
      <c r="J1571" s="141">
        <f t="shared" si="49"/>
        <v>0.25</v>
      </c>
      <c r="K1571" s="141">
        <f t="shared" si="50"/>
        <v>50306.760000000017</v>
      </c>
    </row>
    <row r="1572" spans="1:11">
      <c r="A1572" s="141">
        <v>1572</v>
      </c>
      <c r="B1572" s="142">
        <v>43665</v>
      </c>
      <c r="C1572" s="149">
        <v>20</v>
      </c>
      <c r="D1572" s="141">
        <v>16871.600000000002</v>
      </c>
      <c r="E1572" s="141"/>
      <c r="F1572" s="141"/>
      <c r="G1572" s="141"/>
      <c r="H1572" s="141"/>
      <c r="J1572" s="141">
        <f t="shared" si="49"/>
        <v>0.25</v>
      </c>
      <c r="K1572" s="141">
        <f t="shared" si="50"/>
        <v>50312.760000000017</v>
      </c>
    </row>
    <row r="1573" spans="1:11">
      <c r="A1573" s="141">
        <v>1573</v>
      </c>
      <c r="B1573" s="142">
        <v>43666</v>
      </c>
      <c r="C1573" s="149">
        <v>24.1</v>
      </c>
      <c r="D1573" s="141">
        <v>16895.7</v>
      </c>
      <c r="E1573" s="141"/>
      <c r="F1573" s="141"/>
      <c r="G1573" s="141"/>
      <c r="H1573" s="141"/>
      <c r="J1573" s="141">
        <f t="shared" si="49"/>
        <v>0.25</v>
      </c>
      <c r="K1573" s="141">
        <f t="shared" si="50"/>
        <v>50318.760000000017</v>
      </c>
    </row>
    <row r="1574" spans="1:11">
      <c r="A1574" s="141">
        <v>1574</v>
      </c>
      <c r="B1574" s="142">
        <v>43667</v>
      </c>
      <c r="C1574" s="149">
        <v>20.399999999999999</v>
      </c>
      <c r="D1574" s="141">
        <v>16916.100000000002</v>
      </c>
      <c r="E1574" s="141"/>
      <c r="F1574" s="141"/>
      <c r="G1574" s="141"/>
      <c r="H1574" s="141"/>
      <c r="J1574" s="141">
        <f t="shared" si="49"/>
        <v>0.25</v>
      </c>
      <c r="K1574" s="141">
        <f t="shared" si="50"/>
        <v>50324.760000000017</v>
      </c>
    </row>
    <row r="1575" spans="1:11">
      <c r="A1575" s="141">
        <v>1575</v>
      </c>
      <c r="B1575" s="142">
        <v>43668</v>
      </c>
      <c r="C1575" s="149">
        <v>22</v>
      </c>
      <c r="D1575" s="141">
        <v>16938.100000000002</v>
      </c>
      <c r="E1575" s="141"/>
      <c r="F1575" s="141"/>
      <c r="G1575" s="141"/>
      <c r="H1575" s="141"/>
      <c r="J1575" s="141">
        <f t="shared" si="49"/>
        <v>0.25</v>
      </c>
      <c r="K1575" s="141">
        <f t="shared" si="50"/>
        <v>50330.760000000017</v>
      </c>
    </row>
    <row r="1576" spans="1:11">
      <c r="A1576" s="141">
        <v>1576</v>
      </c>
      <c r="B1576" s="142">
        <v>43669</v>
      </c>
      <c r="C1576" s="149">
        <v>25.3</v>
      </c>
      <c r="D1576" s="141">
        <v>16963.400000000001</v>
      </c>
      <c r="E1576" s="141"/>
      <c r="F1576" s="141"/>
      <c r="G1576" s="141"/>
      <c r="H1576" s="141"/>
      <c r="J1576" s="141">
        <f t="shared" si="49"/>
        <v>0.25</v>
      </c>
      <c r="K1576" s="141">
        <f t="shared" si="50"/>
        <v>50336.760000000017</v>
      </c>
    </row>
    <row r="1577" spans="1:11">
      <c r="A1577" s="141">
        <v>1577</v>
      </c>
      <c r="B1577" s="142">
        <v>43670</v>
      </c>
      <c r="C1577" s="149">
        <v>24.8</v>
      </c>
      <c r="D1577" s="141">
        <v>16988.2</v>
      </c>
      <c r="E1577" s="141"/>
      <c r="F1577" s="141"/>
      <c r="G1577" s="141"/>
      <c r="H1577" s="141"/>
      <c r="J1577" s="141">
        <f t="shared" si="49"/>
        <v>0.25</v>
      </c>
      <c r="K1577" s="141">
        <f t="shared" si="50"/>
        <v>50342.760000000017</v>
      </c>
    </row>
    <row r="1578" spans="1:11">
      <c r="A1578" s="141">
        <v>1578</v>
      </c>
      <c r="B1578" s="142">
        <v>43671</v>
      </c>
      <c r="C1578" s="149">
        <v>25.8</v>
      </c>
      <c r="D1578" s="141">
        <v>17014</v>
      </c>
      <c r="E1578" s="141"/>
      <c r="F1578" s="141"/>
      <c r="G1578" s="141"/>
      <c r="H1578" s="141"/>
      <c r="J1578" s="141">
        <f t="shared" si="49"/>
        <v>0.25</v>
      </c>
      <c r="K1578" s="141">
        <f t="shared" si="50"/>
        <v>50348.760000000017</v>
      </c>
    </row>
    <row r="1579" spans="1:11">
      <c r="A1579" s="141">
        <v>1579</v>
      </c>
      <c r="B1579" s="142">
        <v>43672</v>
      </c>
      <c r="C1579" s="149">
        <v>25.6</v>
      </c>
      <c r="D1579" s="141">
        <v>17039.599999999999</v>
      </c>
      <c r="E1579" s="141"/>
      <c r="F1579" s="141"/>
      <c r="G1579" s="141"/>
      <c r="H1579" s="141"/>
      <c r="J1579" s="141">
        <f t="shared" si="49"/>
        <v>0.25</v>
      </c>
      <c r="K1579" s="141">
        <f t="shared" si="50"/>
        <v>50354.760000000017</v>
      </c>
    </row>
    <row r="1580" spans="1:11">
      <c r="A1580" s="141">
        <v>1580</v>
      </c>
      <c r="B1580" s="142">
        <v>43673</v>
      </c>
      <c r="C1580" s="149">
        <v>23</v>
      </c>
      <c r="D1580" s="141">
        <v>17062.599999999999</v>
      </c>
      <c r="E1580" s="141"/>
      <c r="F1580" s="141"/>
      <c r="G1580" s="141"/>
      <c r="H1580" s="141"/>
      <c r="J1580" s="141">
        <f t="shared" si="49"/>
        <v>0.25</v>
      </c>
      <c r="K1580" s="141">
        <f t="shared" si="50"/>
        <v>50360.760000000017</v>
      </c>
    </row>
    <row r="1581" spans="1:11">
      <c r="A1581" s="141">
        <v>1581</v>
      </c>
      <c r="B1581" s="142">
        <v>43674</v>
      </c>
      <c r="C1581" s="149">
        <v>22.5</v>
      </c>
      <c r="D1581" s="141">
        <v>17085.099999999999</v>
      </c>
      <c r="E1581" s="141"/>
      <c r="F1581" s="141"/>
      <c r="G1581" s="141"/>
      <c r="H1581" s="141"/>
      <c r="J1581" s="141">
        <f t="shared" si="49"/>
        <v>0.25</v>
      </c>
      <c r="K1581" s="141">
        <f t="shared" si="50"/>
        <v>50366.760000000017</v>
      </c>
    </row>
    <row r="1582" spans="1:11">
      <c r="A1582" s="141">
        <v>1582</v>
      </c>
      <c r="B1582" s="142">
        <v>43675</v>
      </c>
      <c r="C1582" s="149">
        <v>24.2</v>
      </c>
      <c r="D1582" s="141">
        <v>17109.3</v>
      </c>
      <c r="E1582" s="141"/>
      <c r="F1582" s="141"/>
      <c r="G1582" s="141"/>
      <c r="H1582" s="141"/>
      <c r="J1582" s="141">
        <f t="shared" si="49"/>
        <v>0.25</v>
      </c>
      <c r="K1582" s="141">
        <f t="shared" si="50"/>
        <v>50372.760000000017</v>
      </c>
    </row>
    <row r="1583" spans="1:11">
      <c r="A1583" s="141">
        <v>1583</v>
      </c>
      <c r="B1583" s="142">
        <v>43676</v>
      </c>
      <c r="C1583" s="149">
        <v>23.8</v>
      </c>
      <c r="D1583" s="141">
        <v>17133.099999999999</v>
      </c>
      <c r="E1583" s="141"/>
      <c r="F1583" s="141"/>
      <c r="G1583" s="141"/>
      <c r="H1583" s="141"/>
      <c r="J1583" s="141">
        <f t="shared" si="49"/>
        <v>0.25</v>
      </c>
      <c r="K1583" s="141">
        <f t="shared" si="50"/>
        <v>50378.760000000017</v>
      </c>
    </row>
    <row r="1584" spans="1:11">
      <c r="A1584" s="141">
        <v>1584</v>
      </c>
      <c r="B1584" s="142">
        <v>43677</v>
      </c>
      <c r="C1584" s="149">
        <v>20.6</v>
      </c>
      <c r="D1584" s="141">
        <v>17153.699999999997</v>
      </c>
      <c r="E1584" s="141"/>
      <c r="F1584" s="141"/>
      <c r="G1584" s="141"/>
      <c r="H1584" s="141"/>
      <c r="J1584" s="141">
        <f t="shared" si="49"/>
        <v>0.25</v>
      </c>
      <c r="K1584" s="141">
        <f t="shared" si="50"/>
        <v>50384.760000000017</v>
      </c>
    </row>
    <row r="1585" spans="1:11">
      <c r="A1585" s="141">
        <v>1585</v>
      </c>
      <c r="B1585" s="142">
        <v>43678</v>
      </c>
      <c r="C1585" s="149">
        <v>20.3</v>
      </c>
      <c r="D1585" s="141">
        <v>17173.999999999996</v>
      </c>
      <c r="E1585" s="141"/>
      <c r="F1585" s="141"/>
      <c r="G1585" s="141"/>
      <c r="H1585" s="141"/>
      <c r="J1585" s="141">
        <f t="shared" si="49"/>
        <v>0.25</v>
      </c>
      <c r="K1585" s="141">
        <f t="shared" si="50"/>
        <v>50390.760000000017</v>
      </c>
    </row>
    <row r="1586" spans="1:11">
      <c r="A1586" s="141">
        <v>1586</v>
      </c>
      <c r="B1586" s="142">
        <v>43679</v>
      </c>
      <c r="C1586" s="149">
        <v>20.2</v>
      </c>
      <c r="D1586" s="141">
        <v>17194.199999999997</v>
      </c>
      <c r="E1586" s="141"/>
      <c r="F1586" s="141"/>
      <c r="G1586" s="141"/>
      <c r="H1586" s="141"/>
      <c r="J1586" s="141">
        <f t="shared" si="49"/>
        <v>0.25</v>
      </c>
      <c r="K1586" s="141">
        <f t="shared" si="50"/>
        <v>50396.760000000017</v>
      </c>
    </row>
    <row r="1587" spans="1:11">
      <c r="A1587" s="141">
        <v>1587</v>
      </c>
      <c r="B1587" s="142">
        <v>43680</v>
      </c>
      <c r="C1587" s="149">
        <v>17.899999999999999</v>
      </c>
      <c r="D1587" s="141">
        <v>17212.099999999999</v>
      </c>
      <c r="E1587" s="141"/>
      <c r="F1587" s="141"/>
      <c r="G1587" s="141"/>
      <c r="H1587" s="141"/>
      <c r="J1587" s="141">
        <f t="shared" si="49"/>
        <v>0.25</v>
      </c>
      <c r="K1587" s="141">
        <f t="shared" si="50"/>
        <v>50402.760000000017</v>
      </c>
    </row>
    <row r="1588" spans="1:11">
      <c r="A1588" s="141">
        <v>1588</v>
      </c>
      <c r="B1588" s="142">
        <v>43681</v>
      </c>
      <c r="C1588" s="149">
        <v>18.899999999999999</v>
      </c>
      <c r="D1588" s="141">
        <v>17231</v>
      </c>
      <c r="E1588" s="141"/>
      <c r="F1588" s="141"/>
      <c r="G1588" s="141"/>
      <c r="H1588" s="141"/>
      <c r="J1588" s="141">
        <f t="shared" si="49"/>
        <v>0.25</v>
      </c>
      <c r="K1588" s="141">
        <f t="shared" si="50"/>
        <v>50408.760000000017</v>
      </c>
    </row>
    <row r="1589" spans="1:11">
      <c r="A1589" s="141">
        <v>1589</v>
      </c>
      <c r="B1589" s="142">
        <v>43682</v>
      </c>
      <c r="C1589" s="149">
        <v>20.2</v>
      </c>
      <c r="D1589" s="141">
        <v>17251.2</v>
      </c>
      <c r="E1589" s="141"/>
      <c r="F1589" s="141"/>
      <c r="G1589" s="141"/>
      <c r="H1589" s="141"/>
      <c r="J1589" s="141">
        <f t="shared" si="49"/>
        <v>0.25</v>
      </c>
      <c r="K1589" s="141">
        <f t="shared" si="50"/>
        <v>50414.760000000017</v>
      </c>
    </row>
    <row r="1590" spans="1:11">
      <c r="A1590" s="141">
        <v>1590</v>
      </c>
      <c r="B1590" s="142">
        <v>43683</v>
      </c>
      <c r="C1590" s="149">
        <v>21.5</v>
      </c>
      <c r="D1590" s="141">
        <v>17272.7</v>
      </c>
      <c r="E1590" s="141"/>
      <c r="F1590" s="141"/>
      <c r="G1590" s="141"/>
      <c r="H1590" s="141"/>
      <c r="J1590" s="141">
        <f t="shared" si="49"/>
        <v>0.25</v>
      </c>
      <c r="K1590" s="141">
        <f t="shared" si="50"/>
        <v>50420.760000000017</v>
      </c>
    </row>
    <row r="1591" spans="1:11">
      <c r="A1591" s="141">
        <v>1591</v>
      </c>
      <c r="B1591" s="142">
        <v>43684</v>
      </c>
      <c r="C1591" s="149">
        <v>20.5</v>
      </c>
      <c r="D1591" s="141">
        <v>17293.2</v>
      </c>
      <c r="E1591" s="141"/>
      <c r="F1591" s="141"/>
      <c r="G1591" s="141"/>
      <c r="H1591" s="141"/>
      <c r="J1591" s="141">
        <f t="shared" si="49"/>
        <v>0.25</v>
      </c>
      <c r="K1591" s="141">
        <f t="shared" si="50"/>
        <v>50426.760000000017</v>
      </c>
    </row>
    <row r="1592" spans="1:11">
      <c r="A1592" s="141">
        <v>1592</v>
      </c>
      <c r="B1592" s="142">
        <v>43685</v>
      </c>
      <c r="C1592" s="149">
        <v>20</v>
      </c>
      <c r="D1592" s="141">
        <v>17313.2</v>
      </c>
      <c r="E1592" s="141"/>
      <c r="F1592" s="141"/>
      <c r="G1592" s="141"/>
      <c r="H1592" s="141"/>
      <c r="J1592" s="141">
        <f t="shared" si="49"/>
        <v>0.25</v>
      </c>
      <c r="K1592" s="141">
        <f t="shared" si="50"/>
        <v>50432.760000000017</v>
      </c>
    </row>
    <row r="1593" spans="1:11">
      <c r="A1593" s="141">
        <v>1593</v>
      </c>
      <c r="B1593" s="142">
        <v>43686</v>
      </c>
      <c r="C1593" s="149">
        <v>22.4</v>
      </c>
      <c r="D1593" s="141">
        <v>17335.600000000002</v>
      </c>
      <c r="E1593" s="141"/>
      <c r="F1593" s="141"/>
      <c r="G1593" s="141"/>
      <c r="H1593" s="141"/>
      <c r="J1593" s="141">
        <f t="shared" si="49"/>
        <v>0.25</v>
      </c>
      <c r="K1593" s="141">
        <f t="shared" si="50"/>
        <v>50438.760000000017</v>
      </c>
    </row>
    <row r="1594" spans="1:11">
      <c r="A1594" s="141">
        <v>1594</v>
      </c>
      <c r="B1594" s="142">
        <v>43687</v>
      </c>
      <c r="C1594" s="149">
        <v>20.100000000000001</v>
      </c>
      <c r="D1594" s="141">
        <v>17355.7</v>
      </c>
      <c r="E1594" s="141"/>
      <c r="F1594" s="141"/>
      <c r="G1594" s="141"/>
      <c r="H1594" s="141"/>
      <c r="J1594" s="141">
        <f t="shared" si="49"/>
        <v>0.25</v>
      </c>
      <c r="K1594" s="141">
        <f t="shared" si="50"/>
        <v>50444.760000000017</v>
      </c>
    </row>
    <row r="1595" spans="1:11">
      <c r="A1595" s="141">
        <v>1595</v>
      </c>
      <c r="B1595" s="142">
        <v>43688</v>
      </c>
      <c r="C1595" s="149">
        <v>21.5</v>
      </c>
      <c r="D1595" s="141">
        <v>17377.2</v>
      </c>
      <c r="E1595" s="141"/>
      <c r="F1595" s="141"/>
      <c r="G1595" s="141"/>
      <c r="H1595" s="141"/>
      <c r="J1595" s="141">
        <f t="shared" si="49"/>
        <v>0.25</v>
      </c>
      <c r="K1595" s="141">
        <f t="shared" si="50"/>
        <v>50450.760000000017</v>
      </c>
    </row>
    <row r="1596" spans="1:11">
      <c r="A1596" s="141">
        <v>1596</v>
      </c>
      <c r="B1596" s="142">
        <v>43689</v>
      </c>
      <c r="C1596" s="149">
        <v>17.2</v>
      </c>
      <c r="D1596" s="141">
        <v>17394.400000000001</v>
      </c>
      <c r="E1596" s="141"/>
      <c r="F1596" s="141"/>
      <c r="G1596" s="141"/>
      <c r="H1596" s="141"/>
      <c r="J1596" s="141">
        <f t="shared" si="49"/>
        <v>0.25</v>
      </c>
      <c r="K1596" s="141">
        <f t="shared" si="50"/>
        <v>50456.760000000017</v>
      </c>
    </row>
    <row r="1597" spans="1:11">
      <c r="A1597" s="141">
        <v>1597</v>
      </c>
      <c r="B1597" s="142">
        <v>43690</v>
      </c>
      <c r="C1597" s="149">
        <v>18.399999999999999</v>
      </c>
      <c r="D1597" s="141">
        <v>17412.800000000003</v>
      </c>
      <c r="E1597" s="141"/>
      <c r="F1597" s="141"/>
      <c r="G1597" s="141"/>
      <c r="H1597" s="141"/>
      <c r="J1597" s="141">
        <f t="shared" si="49"/>
        <v>0.25</v>
      </c>
      <c r="K1597" s="141">
        <f t="shared" si="50"/>
        <v>50462.760000000017</v>
      </c>
    </row>
    <row r="1598" spans="1:11">
      <c r="A1598" s="141">
        <v>1598</v>
      </c>
      <c r="B1598" s="142">
        <v>43691</v>
      </c>
      <c r="C1598" s="149">
        <v>16.399999999999999</v>
      </c>
      <c r="D1598" s="141">
        <v>17429.200000000004</v>
      </c>
      <c r="E1598" s="141"/>
      <c r="F1598" s="141"/>
      <c r="G1598" s="141"/>
      <c r="H1598" s="141"/>
      <c r="J1598" s="141">
        <f t="shared" si="49"/>
        <v>0.34000000000000019</v>
      </c>
      <c r="K1598" s="141">
        <f t="shared" si="50"/>
        <v>50470.92000000002</v>
      </c>
    </row>
    <row r="1599" spans="1:11">
      <c r="A1599" s="141">
        <v>1599</v>
      </c>
      <c r="B1599" s="142">
        <v>43692</v>
      </c>
      <c r="C1599" s="149">
        <v>16.8</v>
      </c>
      <c r="D1599" s="141">
        <v>17446.000000000004</v>
      </c>
      <c r="E1599" s="141"/>
      <c r="F1599" s="141"/>
      <c r="G1599" s="141"/>
      <c r="H1599" s="141"/>
      <c r="J1599" s="141">
        <f t="shared" si="49"/>
        <v>0.27999999999999992</v>
      </c>
      <c r="K1599" s="141">
        <f t="shared" si="50"/>
        <v>50477.640000000021</v>
      </c>
    </row>
    <row r="1600" spans="1:11">
      <c r="A1600" s="141">
        <v>1600</v>
      </c>
      <c r="B1600" s="142">
        <v>43693</v>
      </c>
      <c r="C1600" s="149">
        <v>17.100000000000001</v>
      </c>
      <c r="D1600" s="141">
        <v>17463.100000000002</v>
      </c>
      <c r="E1600" s="141"/>
      <c r="F1600" s="141"/>
      <c r="G1600" s="141"/>
      <c r="H1600" s="141"/>
      <c r="J1600" s="141">
        <f t="shared" si="49"/>
        <v>0.25</v>
      </c>
      <c r="K1600" s="141">
        <f t="shared" si="50"/>
        <v>50483.640000000021</v>
      </c>
    </row>
    <row r="1601" spans="1:11">
      <c r="A1601" s="141">
        <v>1601</v>
      </c>
      <c r="B1601" s="142">
        <v>43694</v>
      </c>
      <c r="C1601" s="149">
        <v>18.100000000000001</v>
      </c>
      <c r="D1601" s="141">
        <v>17481.2</v>
      </c>
      <c r="E1601" s="141"/>
      <c r="F1601" s="141"/>
      <c r="G1601" s="141"/>
      <c r="H1601" s="141"/>
      <c r="J1601" s="141">
        <f t="shared" si="49"/>
        <v>0.25</v>
      </c>
      <c r="K1601" s="141">
        <f t="shared" si="50"/>
        <v>50489.640000000021</v>
      </c>
    </row>
    <row r="1602" spans="1:11">
      <c r="A1602" s="141">
        <v>1602</v>
      </c>
      <c r="B1602" s="142">
        <v>43695</v>
      </c>
      <c r="C1602" s="149">
        <v>23.3</v>
      </c>
      <c r="D1602" s="141">
        <v>17504.5</v>
      </c>
      <c r="E1602" s="141"/>
      <c r="F1602" s="141"/>
      <c r="G1602" s="141"/>
      <c r="H1602" s="141"/>
      <c r="J1602" s="141">
        <f t="shared" si="49"/>
        <v>0.25</v>
      </c>
      <c r="K1602" s="141">
        <f t="shared" si="50"/>
        <v>50495.640000000021</v>
      </c>
    </row>
    <row r="1603" spans="1:11">
      <c r="A1603" s="141">
        <v>1603</v>
      </c>
      <c r="B1603" s="142">
        <v>43696</v>
      </c>
      <c r="C1603" s="149">
        <v>20.3</v>
      </c>
      <c r="D1603" s="141">
        <v>17524.8</v>
      </c>
      <c r="E1603" s="141"/>
      <c r="F1603" s="141"/>
      <c r="G1603" s="141"/>
      <c r="H1603" s="141"/>
      <c r="J1603" s="141">
        <f t="shared" si="49"/>
        <v>0.25</v>
      </c>
      <c r="K1603" s="141">
        <f t="shared" si="50"/>
        <v>50501.640000000021</v>
      </c>
    </row>
    <row r="1604" spans="1:11">
      <c r="A1604" s="141">
        <v>1604</v>
      </c>
      <c r="B1604" s="142">
        <v>43697</v>
      </c>
      <c r="C1604" s="149">
        <v>18.899999999999999</v>
      </c>
      <c r="D1604" s="141">
        <v>17543.7</v>
      </c>
      <c r="E1604" s="141"/>
      <c r="F1604" s="141"/>
      <c r="G1604" s="141"/>
      <c r="H1604" s="141"/>
      <c r="J1604" s="141">
        <f t="shared" si="49"/>
        <v>0.25</v>
      </c>
      <c r="K1604" s="141">
        <f t="shared" si="50"/>
        <v>50507.640000000021</v>
      </c>
    </row>
    <row r="1605" spans="1:11">
      <c r="A1605" s="141">
        <v>1605</v>
      </c>
      <c r="B1605" s="142">
        <v>43698</v>
      </c>
      <c r="C1605" s="149">
        <v>17.100000000000001</v>
      </c>
      <c r="D1605" s="141">
        <v>17560.8</v>
      </c>
      <c r="E1605" s="141"/>
      <c r="F1605" s="141"/>
      <c r="G1605" s="141"/>
      <c r="H1605" s="141"/>
      <c r="J1605" s="141">
        <f t="shared" si="49"/>
        <v>0.25</v>
      </c>
      <c r="K1605" s="141">
        <f t="shared" si="50"/>
        <v>50513.640000000021</v>
      </c>
    </row>
    <row r="1606" spans="1:11">
      <c r="A1606" s="141">
        <v>1606</v>
      </c>
      <c r="B1606" s="142">
        <v>43699</v>
      </c>
      <c r="C1606" s="149">
        <v>17.2</v>
      </c>
      <c r="D1606" s="141">
        <v>17578</v>
      </c>
      <c r="E1606" s="141"/>
      <c r="F1606" s="141"/>
      <c r="G1606" s="141"/>
      <c r="H1606" s="141"/>
      <c r="J1606" s="141">
        <f t="shared" si="49"/>
        <v>0.25</v>
      </c>
      <c r="K1606" s="141">
        <f t="shared" si="50"/>
        <v>50519.640000000021</v>
      </c>
    </row>
    <row r="1607" spans="1:11">
      <c r="A1607" s="141">
        <v>1607</v>
      </c>
      <c r="B1607" s="142">
        <v>43700</v>
      </c>
      <c r="C1607" s="149">
        <v>18.899999999999999</v>
      </c>
      <c r="D1607" s="141">
        <v>17596.900000000001</v>
      </c>
      <c r="E1607" s="141"/>
      <c r="F1607" s="141"/>
      <c r="G1607" s="141"/>
      <c r="H1607" s="141"/>
      <c r="J1607" s="141">
        <f t="shared" ref="J1607:J1670" si="51">J$1+(IF(J$3-$C1607&gt;0,J$3-$C1607,0)*J$2/30)</f>
        <v>0.25</v>
      </c>
      <c r="K1607" s="141">
        <f t="shared" ref="K1607:K1670" si="52">K1606+J1607*24</f>
        <v>50525.640000000021</v>
      </c>
    </row>
    <row r="1608" spans="1:11">
      <c r="A1608" s="141">
        <v>1608</v>
      </c>
      <c r="B1608" s="142">
        <v>43701</v>
      </c>
      <c r="C1608" s="149">
        <v>21.3</v>
      </c>
      <c r="D1608" s="141">
        <v>17618.2</v>
      </c>
      <c r="E1608" s="141"/>
      <c r="F1608" s="141"/>
      <c r="G1608" s="141"/>
      <c r="H1608" s="141"/>
      <c r="J1608" s="141">
        <f t="shared" si="51"/>
        <v>0.25</v>
      </c>
      <c r="K1608" s="141">
        <f t="shared" si="52"/>
        <v>50531.640000000021</v>
      </c>
    </row>
    <row r="1609" spans="1:11">
      <c r="A1609" s="141">
        <v>1609</v>
      </c>
      <c r="B1609" s="142">
        <v>43702</v>
      </c>
      <c r="C1609" s="149">
        <v>23</v>
      </c>
      <c r="D1609" s="141">
        <v>17641.2</v>
      </c>
      <c r="E1609" s="141"/>
      <c r="F1609" s="141"/>
      <c r="G1609" s="141"/>
      <c r="H1609" s="141"/>
      <c r="J1609" s="141">
        <f t="shared" si="51"/>
        <v>0.25</v>
      </c>
      <c r="K1609" s="141">
        <f t="shared" si="52"/>
        <v>50537.640000000021</v>
      </c>
    </row>
    <row r="1610" spans="1:11">
      <c r="A1610" s="141">
        <v>1610</v>
      </c>
      <c r="B1610" s="142">
        <v>43703</v>
      </c>
      <c r="C1610" s="149">
        <v>23.2</v>
      </c>
      <c r="D1610" s="141">
        <v>17664.400000000001</v>
      </c>
      <c r="E1610" s="141"/>
      <c r="F1610" s="141"/>
      <c r="G1610" s="141"/>
      <c r="H1610" s="141"/>
      <c r="J1610" s="141">
        <f t="shared" si="51"/>
        <v>0.25</v>
      </c>
      <c r="K1610" s="141">
        <f t="shared" si="52"/>
        <v>50543.640000000021</v>
      </c>
    </row>
    <row r="1611" spans="1:11">
      <c r="A1611" s="141">
        <v>1611</v>
      </c>
      <c r="B1611" s="142">
        <v>43704</v>
      </c>
      <c r="C1611" s="149">
        <v>23.3</v>
      </c>
      <c r="D1611" s="141">
        <v>17687.7</v>
      </c>
      <c r="E1611" s="141"/>
      <c r="F1611" s="141"/>
      <c r="G1611" s="141"/>
      <c r="H1611" s="141"/>
      <c r="J1611" s="141">
        <f t="shared" si="51"/>
        <v>0.25</v>
      </c>
      <c r="K1611" s="141">
        <f t="shared" si="52"/>
        <v>50549.640000000021</v>
      </c>
    </row>
    <row r="1612" spans="1:11">
      <c r="A1612" s="141">
        <v>1612</v>
      </c>
      <c r="B1612" s="142">
        <v>43705</v>
      </c>
      <c r="C1612" s="149">
        <v>23.8</v>
      </c>
      <c r="D1612" s="141">
        <v>17711.5</v>
      </c>
      <c r="E1612" s="141"/>
      <c r="F1612" s="141"/>
      <c r="G1612" s="141"/>
      <c r="H1612" s="141"/>
      <c r="J1612" s="141">
        <f t="shared" si="51"/>
        <v>0.25</v>
      </c>
      <c r="K1612" s="141">
        <f t="shared" si="52"/>
        <v>50555.640000000021</v>
      </c>
    </row>
    <row r="1613" spans="1:11">
      <c r="A1613" s="141">
        <v>1613</v>
      </c>
      <c r="B1613" s="142">
        <v>43706</v>
      </c>
      <c r="C1613" s="149">
        <v>22.8</v>
      </c>
      <c r="D1613" s="141">
        <v>17734.3</v>
      </c>
      <c r="E1613" s="141"/>
      <c r="F1613" s="141"/>
      <c r="G1613" s="141"/>
      <c r="H1613" s="141"/>
      <c r="J1613" s="141">
        <f t="shared" si="51"/>
        <v>0.25</v>
      </c>
      <c r="K1613" s="141">
        <f t="shared" si="52"/>
        <v>50561.640000000021</v>
      </c>
    </row>
    <row r="1614" spans="1:11">
      <c r="A1614" s="141">
        <v>1614</v>
      </c>
      <c r="B1614" s="142">
        <v>43707</v>
      </c>
      <c r="C1614" s="149">
        <v>23.1</v>
      </c>
      <c r="D1614" s="141">
        <v>17757.399999999998</v>
      </c>
      <c r="E1614" s="141"/>
      <c r="F1614" s="141"/>
      <c r="G1614" s="141"/>
      <c r="H1614" s="141"/>
      <c r="J1614" s="141">
        <f t="shared" si="51"/>
        <v>0.25</v>
      </c>
      <c r="K1614" s="141">
        <f t="shared" si="52"/>
        <v>50567.640000000021</v>
      </c>
    </row>
    <row r="1615" spans="1:11">
      <c r="A1615" s="141">
        <v>1615</v>
      </c>
      <c r="B1615" s="142">
        <v>43708</v>
      </c>
      <c r="C1615" s="149">
        <v>24.1</v>
      </c>
      <c r="D1615" s="141">
        <v>17781.499999999996</v>
      </c>
      <c r="E1615" s="141"/>
      <c r="F1615" s="141"/>
      <c r="G1615" s="141"/>
      <c r="H1615" s="141"/>
      <c r="J1615" s="141">
        <f t="shared" si="51"/>
        <v>0.25</v>
      </c>
      <c r="K1615" s="141">
        <f t="shared" si="52"/>
        <v>50573.640000000021</v>
      </c>
    </row>
    <row r="1616" spans="1:11">
      <c r="A1616" s="141">
        <v>1616</v>
      </c>
      <c r="B1616" s="142">
        <v>43709</v>
      </c>
      <c r="C1616" s="149">
        <v>22.8</v>
      </c>
      <c r="D1616" s="141">
        <v>17804.299999999996</v>
      </c>
      <c r="E1616" s="141"/>
      <c r="F1616" s="141"/>
      <c r="G1616" s="141"/>
      <c r="H1616" s="141"/>
      <c r="J1616" s="141">
        <f t="shared" si="51"/>
        <v>0.25</v>
      </c>
      <c r="K1616" s="141">
        <f t="shared" si="52"/>
        <v>50579.640000000021</v>
      </c>
    </row>
    <row r="1617" spans="1:11">
      <c r="A1617" s="141">
        <v>1617</v>
      </c>
      <c r="B1617" s="142">
        <v>43710</v>
      </c>
      <c r="C1617" s="149">
        <v>16.100000000000001</v>
      </c>
      <c r="D1617" s="141">
        <v>17820.399999999994</v>
      </c>
      <c r="E1617" s="141"/>
      <c r="F1617" s="141"/>
      <c r="G1617" s="141"/>
      <c r="H1617" s="141"/>
      <c r="J1617" s="141">
        <f t="shared" si="51"/>
        <v>0.38499999999999979</v>
      </c>
      <c r="K1617" s="141">
        <f t="shared" si="52"/>
        <v>50588.880000000019</v>
      </c>
    </row>
    <row r="1618" spans="1:11">
      <c r="A1618" s="141">
        <v>1618</v>
      </c>
      <c r="B1618" s="142">
        <v>43711</v>
      </c>
      <c r="C1618" s="149">
        <v>15.5</v>
      </c>
      <c r="D1618" s="141">
        <v>17835.899999999994</v>
      </c>
      <c r="E1618" s="141"/>
      <c r="F1618" s="141"/>
      <c r="G1618" s="141"/>
      <c r="H1618" s="141"/>
      <c r="J1618" s="141">
        <f t="shared" si="51"/>
        <v>0.47499999999999998</v>
      </c>
      <c r="K1618" s="141">
        <f t="shared" si="52"/>
        <v>50600.280000000021</v>
      </c>
    </row>
    <row r="1619" spans="1:11">
      <c r="A1619" s="141">
        <v>1619</v>
      </c>
      <c r="B1619" s="142">
        <v>43712</v>
      </c>
      <c r="C1619" s="149">
        <v>18</v>
      </c>
      <c r="D1619" s="141">
        <v>17853.899999999994</v>
      </c>
      <c r="E1619" s="141"/>
      <c r="F1619" s="141"/>
      <c r="G1619" s="141"/>
      <c r="H1619" s="141"/>
      <c r="J1619" s="141">
        <f t="shared" si="51"/>
        <v>0.25</v>
      </c>
      <c r="K1619" s="141">
        <f t="shared" si="52"/>
        <v>50606.280000000021</v>
      </c>
    </row>
    <row r="1620" spans="1:11">
      <c r="A1620" s="141">
        <v>1620</v>
      </c>
      <c r="B1620" s="142">
        <v>43713</v>
      </c>
      <c r="C1620" s="149">
        <v>17.399999999999999</v>
      </c>
      <c r="D1620" s="141">
        <v>17871.299999999996</v>
      </c>
      <c r="E1620" s="141"/>
      <c r="F1620" s="141"/>
      <c r="G1620" s="141"/>
      <c r="H1620" s="141"/>
      <c r="J1620" s="141">
        <f t="shared" si="51"/>
        <v>0.25</v>
      </c>
      <c r="K1620" s="141">
        <f t="shared" si="52"/>
        <v>50612.280000000021</v>
      </c>
    </row>
    <row r="1621" spans="1:11">
      <c r="A1621" s="141">
        <v>1621</v>
      </c>
      <c r="B1621" s="142">
        <v>43714</v>
      </c>
      <c r="C1621" s="149">
        <v>15.1</v>
      </c>
      <c r="D1621" s="141">
        <v>17886.399999999994</v>
      </c>
      <c r="E1621" s="141"/>
      <c r="F1621" s="141"/>
      <c r="G1621" s="141"/>
      <c r="H1621" s="141"/>
      <c r="J1621" s="141">
        <f t="shared" si="51"/>
        <v>0.53500000000000003</v>
      </c>
      <c r="K1621" s="141">
        <f t="shared" si="52"/>
        <v>50625.120000000017</v>
      </c>
    </row>
    <row r="1622" spans="1:11">
      <c r="A1622" s="141">
        <v>1622</v>
      </c>
      <c r="B1622" s="142">
        <v>43715</v>
      </c>
      <c r="C1622" s="149">
        <v>13.600000000000001</v>
      </c>
      <c r="D1622" s="141">
        <v>17899.999999999993</v>
      </c>
      <c r="E1622" s="141"/>
      <c r="F1622" s="141"/>
      <c r="G1622" s="141"/>
      <c r="H1622" s="141"/>
      <c r="J1622" s="141">
        <f t="shared" si="51"/>
        <v>0.75999999999999979</v>
      </c>
      <c r="K1622" s="141">
        <f t="shared" si="52"/>
        <v>50643.360000000015</v>
      </c>
    </row>
    <row r="1623" spans="1:11">
      <c r="A1623" s="141">
        <v>1623</v>
      </c>
      <c r="B1623" s="142">
        <v>43716</v>
      </c>
      <c r="C1623" s="149">
        <v>13.5</v>
      </c>
      <c r="D1623" s="141">
        <v>17913.499999999993</v>
      </c>
      <c r="E1623" s="141"/>
      <c r="F1623" s="141"/>
      <c r="G1623" s="141"/>
      <c r="H1623" s="141"/>
      <c r="J1623" s="141">
        <f t="shared" si="51"/>
        <v>0.77500000000000002</v>
      </c>
      <c r="K1623" s="141">
        <f t="shared" si="52"/>
        <v>50661.960000000014</v>
      </c>
    </row>
    <row r="1624" spans="1:11">
      <c r="A1624" s="141">
        <v>1624</v>
      </c>
      <c r="B1624" s="142">
        <v>43717</v>
      </c>
      <c r="C1624" s="149">
        <v>13.2</v>
      </c>
      <c r="D1624" s="141">
        <v>17926.699999999993</v>
      </c>
      <c r="E1624" s="141"/>
      <c r="F1624" s="141"/>
      <c r="G1624" s="141"/>
      <c r="H1624" s="141"/>
      <c r="J1624" s="141">
        <f t="shared" si="51"/>
        <v>0.82000000000000006</v>
      </c>
      <c r="K1624" s="141">
        <f t="shared" si="52"/>
        <v>50681.640000000014</v>
      </c>
    </row>
    <row r="1625" spans="1:11">
      <c r="A1625" s="141">
        <v>1625</v>
      </c>
      <c r="B1625" s="142">
        <v>43718</v>
      </c>
      <c r="C1625" s="149">
        <v>14</v>
      </c>
      <c r="D1625" s="141">
        <v>17940.699999999993</v>
      </c>
      <c r="E1625" s="141"/>
      <c r="F1625" s="141"/>
      <c r="G1625" s="141"/>
      <c r="H1625" s="141"/>
      <c r="J1625" s="141">
        <f t="shared" si="51"/>
        <v>0.7</v>
      </c>
      <c r="K1625" s="141">
        <f t="shared" si="52"/>
        <v>50698.440000000017</v>
      </c>
    </row>
    <row r="1626" spans="1:11">
      <c r="A1626" s="141">
        <v>1626</v>
      </c>
      <c r="B1626" s="142">
        <v>43719</v>
      </c>
      <c r="C1626" s="149">
        <v>15.3</v>
      </c>
      <c r="D1626" s="141">
        <v>17955.999999999993</v>
      </c>
      <c r="E1626" s="141"/>
      <c r="F1626" s="141"/>
      <c r="G1626" s="141"/>
      <c r="H1626" s="141"/>
      <c r="J1626" s="141">
        <f t="shared" si="51"/>
        <v>0.50499999999999989</v>
      </c>
      <c r="K1626" s="141">
        <f t="shared" si="52"/>
        <v>50710.560000000019</v>
      </c>
    </row>
    <row r="1627" spans="1:11">
      <c r="A1627" s="141">
        <v>1627</v>
      </c>
      <c r="B1627" s="142">
        <v>43720</v>
      </c>
      <c r="C1627" s="149">
        <v>16.3</v>
      </c>
      <c r="D1627" s="141">
        <v>17972.299999999992</v>
      </c>
      <c r="E1627" s="141"/>
      <c r="F1627" s="141"/>
      <c r="G1627" s="141"/>
      <c r="H1627" s="141"/>
      <c r="J1627" s="141">
        <f t="shared" si="51"/>
        <v>0.35499999999999987</v>
      </c>
      <c r="K1627" s="141">
        <f t="shared" si="52"/>
        <v>50719.080000000016</v>
      </c>
    </row>
    <row r="1628" spans="1:11">
      <c r="A1628" s="141">
        <v>1628</v>
      </c>
      <c r="B1628" s="142">
        <v>43721</v>
      </c>
      <c r="C1628" s="149">
        <v>18.2</v>
      </c>
      <c r="D1628" s="141">
        <v>17990.499999999993</v>
      </c>
      <c r="E1628" s="141"/>
      <c r="F1628" s="141"/>
      <c r="G1628" s="141"/>
      <c r="H1628" s="141"/>
      <c r="J1628" s="141">
        <f t="shared" si="51"/>
        <v>0.25</v>
      </c>
      <c r="K1628" s="141">
        <f t="shared" si="52"/>
        <v>50725.080000000016</v>
      </c>
    </row>
    <row r="1629" spans="1:11">
      <c r="A1629" s="141">
        <v>1629</v>
      </c>
      <c r="B1629" s="142">
        <v>43722</v>
      </c>
      <c r="C1629" s="149">
        <v>15.4</v>
      </c>
      <c r="D1629" s="141">
        <v>18005.899999999994</v>
      </c>
      <c r="E1629" s="141"/>
      <c r="F1629" s="141"/>
      <c r="G1629" s="141"/>
      <c r="H1629" s="141"/>
      <c r="J1629" s="141">
        <f t="shared" si="51"/>
        <v>0.48999999999999994</v>
      </c>
      <c r="K1629" s="141">
        <f t="shared" si="52"/>
        <v>50736.840000000018</v>
      </c>
    </row>
    <row r="1630" spans="1:11">
      <c r="A1630" s="141">
        <v>1630</v>
      </c>
      <c r="B1630" s="142">
        <v>43723</v>
      </c>
      <c r="C1630" s="149">
        <v>16.2</v>
      </c>
      <c r="D1630" s="141">
        <v>18022.099999999995</v>
      </c>
      <c r="E1630" s="141"/>
      <c r="F1630" s="141"/>
      <c r="G1630" s="141"/>
      <c r="H1630" s="141"/>
      <c r="J1630" s="141">
        <f t="shared" si="51"/>
        <v>0.37000000000000011</v>
      </c>
      <c r="K1630" s="141">
        <f t="shared" si="52"/>
        <v>50745.720000000016</v>
      </c>
    </row>
    <row r="1631" spans="1:11">
      <c r="A1631" s="141">
        <v>1631</v>
      </c>
      <c r="B1631" s="142">
        <v>43724</v>
      </c>
      <c r="C1631" s="149">
        <v>15.9</v>
      </c>
      <c r="D1631" s="141">
        <v>18037.999999999996</v>
      </c>
      <c r="E1631" s="141"/>
      <c r="F1631" s="141"/>
      <c r="G1631" s="141"/>
      <c r="H1631" s="141"/>
      <c r="J1631" s="141">
        <f t="shared" si="51"/>
        <v>0.41499999999999992</v>
      </c>
      <c r="K1631" s="141">
        <f t="shared" si="52"/>
        <v>50755.680000000015</v>
      </c>
    </row>
    <row r="1632" spans="1:11">
      <c r="A1632" s="141">
        <v>1632</v>
      </c>
      <c r="B1632" s="142">
        <v>43725</v>
      </c>
      <c r="C1632" s="149">
        <v>13.8</v>
      </c>
      <c r="D1632" s="141">
        <v>18051.799999999996</v>
      </c>
      <c r="E1632" s="141"/>
      <c r="F1632" s="141"/>
      <c r="G1632" s="141"/>
      <c r="H1632" s="141"/>
      <c r="J1632" s="141">
        <f t="shared" si="51"/>
        <v>0.72999999999999987</v>
      </c>
      <c r="K1632" s="141">
        <f t="shared" si="52"/>
        <v>50773.200000000012</v>
      </c>
    </row>
    <row r="1633" spans="1:11">
      <c r="A1633" s="141">
        <v>1633</v>
      </c>
      <c r="B1633" s="142">
        <v>43726</v>
      </c>
      <c r="C1633" s="149">
        <v>11.600000000000001</v>
      </c>
      <c r="D1633" s="141">
        <v>18063.399999999994</v>
      </c>
      <c r="E1633" s="141"/>
      <c r="F1633" s="141"/>
      <c r="G1633" s="141"/>
      <c r="H1633" s="141"/>
      <c r="J1633" s="141">
        <f t="shared" si="51"/>
        <v>1.0599999999999998</v>
      </c>
      <c r="K1633" s="141">
        <f t="shared" si="52"/>
        <v>50798.640000000014</v>
      </c>
    </row>
    <row r="1634" spans="1:11">
      <c r="A1634" s="141">
        <v>1634</v>
      </c>
      <c r="B1634" s="142">
        <v>43727</v>
      </c>
      <c r="C1634" s="149">
        <v>10</v>
      </c>
      <c r="D1634" s="141">
        <v>18073.399999999994</v>
      </c>
      <c r="E1634" s="141"/>
      <c r="F1634" s="141"/>
      <c r="G1634" s="141"/>
      <c r="H1634" s="141"/>
      <c r="J1634" s="141">
        <f t="shared" si="51"/>
        <v>1.3</v>
      </c>
      <c r="K1634" s="141">
        <f t="shared" si="52"/>
        <v>50829.840000000011</v>
      </c>
    </row>
    <row r="1635" spans="1:11">
      <c r="A1635" s="141">
        <v>1635</v>
      </c>
      <c r="B1635" s="142">
        <v>43728</v>
      </c>
      <c r="C1635" s="149">
        <v>9.5</v>
      </c>
      <c r="D1635" s="141">
        <v>18082.899999999994</v>
      </c>
      <c r="E1635" s="141"/>
      <c r="F1635" s="141"/>
      <c r="G1635" s="141"/>
      <c r="H1635" s="141"/>
      <c r="J1635" s="141">
        <f t="shared" si="51"/>
        <v>1.375</v>
      </c>
      <c r="K1635" s="141">
        <f t="shared" si="52"/>
        <v>50862.840000000011</v>
      </c>
    </row>
    <row r="1636" spans="1:11">
      <c r="A1636" s="141">
        <v>1636</v>
      </c>
      <c r="B1636" s="142">
        <v>43729</v>
      </c>
      <c r="C1636" s="149">
        <v>12.100000000000001</v>
      </c>
      <c r="D1636" s="141">
        <v>18094.999999999993</v>
      </c>
      <c r="E1636" s="141"/>
      <c r="F1636" s="141"/>
      <c r="G1636" s="141"/>
      <c r="H1636" s="141"/>
      <c r="J1636" s="141">
        <f t="shared" si="51"/>
        <v>0.98499999999999976</v>
      </c>
      <c r="K1636" s="141">
        <f t="shared" si="52"/>
        <v>50886.48000000001</v>
      </c>
    </row>
    <row r="1637" spans="1:11">
      <c r="A1637" s="141">
        <v>1637</v>
      </c>
      <c r="B1637" s="142">
        <v>43730</v>
      </c>
      <c r="C1637" s="149">
        <v>13.8</v>
      </c>
      <c r="D1637" s="141">
        <v>18108.799999999992</v>
      </c>
      <c r="E1637" s="141"/>
      <c r="F1637" s="141"/>
      <c r="G1637" s="141"/>
      <c r="H1637" s="141"/>
      <c r="J1637" s="141">
        <f t="shared" si="51"/>
        <v>0.72999999999999987</v>
      </c>
      <c r="K1637" s="141">
        <f t="shared" si="52"/>
        <v>50904.000000000007</v>
      </c>
    </row>
    <row r="1638" spans="1:11">
      <c r="A1638" s="141">
        <v>1638</v>
      </c>
      <c r="B1638" s="142">
        <v>43731</v>
      </c>
      <c r="C1638" s="149">
        <v>12.7</v>
      </c>
      <c r="D1638" s="141">
        <v>18121.499999999993</v>
      </c>
      <c r="E1638" s="141"/>
      <c r="F1638" s="141"/>
      <c r="G1638" s="141"/>
      <c r="H1638" s="141"/>
      <c r="J1638" s="141">
        <f t="shared" si="51"/>
        <v>0.89500000000000002</v>
      </c>
      <c r="K1638" s="141">
        <f t="shared" si="52"/>
        <v>50925.48000000001</v>
      </c>
    </row>
    <row r="1639" spans="1:11">
      <c r="A1639" s="141">
        <v>1639</v>
      </c>
      <c r="B1639" s="142">
        <v>43732</v>
      </c>
      <c r="C1639" s="149">
        <v>15.2</v>
      </c>
      <c r="D1639" s="141">
        <v>18136.699999999993</v>
      </c>
      <c r="E1639" s="141"/>
      <c r="F1639" s="141"/>
      <c r="G1639" s="141"/>
      <c r="H1639" s="141"/>
      <c r="J1639" s="141">
        <f t="shared" si="51"/>
        <v>0.52000000000000013</v>
      </c>
      <c r="K1639" s="141">
        <f t="shared" si="52"/>
        <v>50937.960000000014</v>
      </c>
    </row>
    <row r="1640" spans="1:11">
      <c r="A1640" s="141">
        <v>1640</v>
      </c>
      <c r="B1640" s="142">
        <v>43733</v>
      </c>
      <c r="C1640" s="149">
        <v>15</v>
      </c>
      <c r="D1640" s="141">
        <v>18151.699999999993</v>
      </c>
      <c r="E1640" s="141"/>
      <c r="F1640" s="141"/>
      <c r="G1640" s="141"/>
      <c r="H1640" s="141"/>
      <c r="J1640" s="141">
        <f t="shared" si="51"/>
        <v>0.55000000000000004</v>
      </c>
      <c r="K1640" s="141">
        <f t="shared" si="52"/>
        <v>50951.160000000011</v>
      </c>
    </row>
    <row r="1641" spans="1:11">
      <c r="A1641" s="141">
        <v>1641</v>
      </c>
      <c r="B1641" s="142">
        <v>43734</v>
      </c>
      <c r="C1641" s="149">
        <v>14.6</v>
      </c>
      <c r="D1641" s="141">
        <v>18166.299999999992</v>
      </c>
      <c r="E1641" s="141"/>
      <c r="F1641" s="141"/>
      <c r="G1641" s="141"/>
      <c r="H1641" s="141"/>
      <c r="J1641" s="141">
        <f t="shared" si="51"/>
        <v>0.6100000000000001</v>
      </c>
      <c r="K1641" s="141">
        <f t="shared" si="52"/>
        <v>50965.80000000001</v>
      </c>
    </row>
    <row r="1642" spans="1:11">
      <c r="A1642" s="141">
        <v>1642</v>
      </c>
      <c r="B1642" s="142">
        <v>43735</v>
      </c>
      <c r="C1642" s="149">
        <v>16.3</v>
      </c>
      <c r="D1642" s="141">
        <v>18182.599999999991</v>
      </c>
      <c r="E1642" s="141"/>
      <c r="F1642" s="141"/>
      <c r="G1642" s="141"/>
      <c r="H1642" s="141"/>
      <c r="J1642" s="141">
        <f t="shared" si="51"/>
        <v>0.35499999999999987</v>
      </c>
      <c r="K1642" s="141">
        <f t="shared" si="52"/>
        <v>50974.320000000007</v>
      </c>
    </row>
    <row r="1643" spans="1:11">
      <c r="A1643" s="141">
        <v>1643</v>
      </c>
      <c r="B1643" s="142">
        <v>43736</v>
      </c>
      <c r="C1643" s="149">
        <v>15</v>
      </c>
      <c r="D1643" s="141">
        <v>18197.599999999991</v>
      </c>
      <c r="E1643" s="141"/>
      <c r="F1643" s="141"/>
      <c r="G1643" s="141"/>
      <c r="H1643" s="141"/>
      <c r="J1643" s="141">
        <f t="shared" si="51"/>
        <v>0.55000000000000004</v>
      </c>
      <c r="K1643" s="141">
        <f t="shared" si="52"/>
        <v>50987.520000000004</v>
      </c>
    </row>
    <row r="1644" spans="1:11">
      <c r="A1644" s="141">
        <v>1644</v>
      </c>
      <c r="B1644" s="142">
        <v>43737</v>
      </c>
      <c r="C1644" s="149">
        <v>16.3</v>
      </c>
      <c r="D1644" s="141">
        <v>18213.899999999991</v>
      </c>
      <c r="E1644" s="141"/>
      <c r="F1644" s="141"/>
      <c r="G1644" s="141"/>
      <c r="H1644" s="141"/>
      <c r="J1644" s="141">
        <f t="shared" si="51"/>
        <v>0.35499999999999987</v>
      </c>
      <c r="K1644" s="141">
        <f t="shared" si="52"/>
        <v>50996.04</v>
      </c>
    </row>
    <row r="1645" spans="1:11">
      <c r="A1645" s="141">
        <v>1645</v>
      </c>
      <c r="B1645" s="142">
        <v>43738</v>
      </c>
      <c r="C1645" s="149">
        <v>16.2</v>
      </c>
      <c r="D1645" s="141">
        <v>18230.099999999991</v>
      </c>
      <c r="E1645" s="141"/>
      <c r="F1645" s="141"/>
      <c r="G1645" s="141"/>
      <c r="H1645" s="141"/>
      <c r="J1645" s="141">
        <f t="shared" si="51"/>
        <v>0.37000000000000011</v>
      </c>
      <c r="K1645" s="141">
        <f t="shared" si="52"/>
        <v>51004.92</v>
      </c>
    </row>
    <row r="1646" spans="1:11">
      <c r="A1646" s="141">
        <v>1646</v>
      </c>
      <c r="B1646" s="142">
        <v>43739</v>
      </c>
      <c r="C1646" s="149">
        <v>14.5</v>
      </c>
      <c r="D1646" s="141">
        <v>18244.599999999991</v>
      </c>
      <c r="E1646" s="141"/>
      <c r="F1646" s="141"/>
      <c r="G1646" s="141"/>
      <c r="H1646" s="141"/>
      <c r="J1646" s="141">
        <f t="shared" si="51"/>
        <v>0.625</v>
      </c>
      <c r="K1646" s="141">
        <f t="shared" si="52"/>
        <v>51019.92</v>
      </c>
    </row>
    <row r="1647" spans="1:11">
      <c r="A1647" s="141">
        <v>1647</v>
      </c>
      <c r="B1647" s="142">
        <v>43740</v>
      </c>
      <c r="C1647" s="149">
        <v>12.399999999999999</v>
      </c>
      <c r="D1647" s="141">
        <v>18256.999999999993</v>
      </c>
      <c r="E1647" s="141"/>
      <c r="F1647" s="141"/>
      <c r="G1647" s="141"/>
      <c r="H1647" s="141"/>
      <c r="J1647" s="141">
        <f t="shared" si="51"/>
        <v>0.94000000000000017</v>
      </c>
      <c r="K1647" s="141">
        <f t="shared" si="52"/>
        <v>51042.479999999996</v>
      </c>
    </row>
    <row r="1648" spans="1:11">
      <c r="A1648" s="141">
        <v>1648</v>
      </c>
      <c r="B1648" s="142">
        <v>43741</v>
      </c>
      <c r="C1648" s="149">
        <v>8</v>
      </c>
      <c r="D1648" s="141">
        <v>18264.999999999993</v>
      </c>
      <c r="E1648" s="141"/>
      <c r="F1648" s="141"/>
      <c r="G1648" s="141"/>
      <c r="H1648" s="141"/>
      <c r="J1648" s="141">
        <f t="shared" si="51"/>
        <v>1.6</v>
      </c>
      <c r="K1648" s="141">
        <f t="shared" si="52"/>
        <v>51080.88</v>
      </c>
    </row>
    <row r="1649" spans="1:11">
      <c r="A1649" s="141">
        <v>1649</v>
      </c>
      <c r="B1649" s="142">
        <v>43742</v>
      </c>
      <c r="C1649" s="149">
        <v>9.3999999999999986</v>
      </c>
      <c r="D1649" s="141">
        <v>18274.399999999994</v>
      </c>
      <c r="E1649" s="141"/>
      <c r="F1649" s="141"/>
      <c r="G1649" s="141"/>
      <c r="H1649" s="141"/>
      <c r="J1649" s="141">
        <f t="shared" si="51"/>
        <v>1.3900000000000001</v>
      </c>
      <c r="K1649" s="141">
        <f t="shared" si="52"/>
        <v>51114.239999999998</v>
      </c>
    </row>
    <row r="1650" spans="1:11">
      <c r="A1650" s="141">
        <v>1650</v>
      </c>
      <c r="B1650" s="142">
        <v>43743</v>
      </c>
      <c r="C1650" s="149">
        <v>8.8000000000000007</v>
      </c>
      <c r="D1650" s="141">
        <v>18283.199999999993</v>
      </c>
      <c r="E1650" s="141"/>
      <c r="F1650" s="141"/>
      <c r="G1650" s="141"/>
      <c r="H1650" s="141"/>
      <c r="J1650" s="141">
        <f t="shared" si="51"/>
        <v>1.48</v>
      </c>
      <c r="K1650" s="141">
        <f t="shared" si="52"/>
        <v>51149.759999999995</v>
      </c>
    </row>
    <row r="1651" spans="1:11">
      <c r="A1651" s="141">
        <v>1651</v>
      </c>
      <c r="B1651" s="142">
        <v>43744</v>
      </c>
      <c r="C1651" s="149">
        <v>7.3000000000000007</v>
      </c>
      <c r="D1651" s="141">
        <v>18290.499999999993</v>
      </c>
      <c r="E1651" s="141"/>
      <c r="F1651" s="141"/>
      <c r="G1651" s="141"/>
      <c r="H1651" s="141"/>
      <c r="J1651" s="141">
        <f t="shared" si="51"/>
        <v>1.7049999999999998</v>
      </c>
      <c r="K1651" s="141">
        <f t="shared" si="52"/>
        <v>51190.679999999993</v>
      </c>
    </row>
    <row r="1652" spans="1:11">
      <c r="A1652" s="141">
        <v>1652</v>
      </c>
      <c r="B1652" s="142">
        <v>43745</v>
      </c>
      <c r="C1652" s="149">
        <v>5.5</v>
      </c>
      <c r="D1652" s="141">
        <v>18295.999999999993</v>
      </c>
      <c r="E1652" s="141"/>
      <c r="F1652" s="141"/>
      <c r="G1652" s="141"/>
      <c r="H1652" s="141"/>
      <c r="J1652" s="141">
        <f t="shared" si="51"/>
        <v>1.9750000000000001</v>
      </c>
      <c r="K1652" s="141">
        <f t="shared" si="52"/>
        <v>51238.079999999994</v>
      </c>
    </row>
    <row r="1653" spans="1:11">
      <c r="A1653" s="141">
        <v>1653</v>
      </c>
      <c r="B1653" s="142">
        <v>43746</v>
      </c>
      <c r="C1653" s="149">
        <v>8.1000000000000014</v>
      </c>
      <c r="D1653" s="141">
        <v>18304.099999999991</v>
      </c>
      <c r="E1653" s="141"/>
      <c r="F1653" s="141"/>
      <c r="G1653" s="141"/>
      <c r="H1653" s="141"/>
      <c r="J1653" s="141">
        <f t="shared" si="51"/>
        <v>1.585</v>
      </c>
      <c r="K1653" s="141">
        <f t="shared" si="52"/>
        <v>51276.119999999995</v>
      </c>
    </row>
    <row r="1654" spans="1:11">
      <c r="A1654" s="141">
        <v>1654</v>
      </c>
      <c r="B1654" s="142">
        <v>43747</v>
      </c>
      <c r="C1654" s="149">
        <v>12.3</v>
      </c>
      <c r="D1654" s="141">
        <v>18316.399999999991</v>
      </c>
      <c r="E1654" s="141"/>
      <c r="F1654" s="141"/>
      <c r="G1654" s="141"/>
      <c r="H1654" s="141"/>
      <c r="J1654" s="141">
        <f t="shared" si="51"/>
        <v>0.95499999999999996</v>
      </c>
      <c r="K1654" s="141">
        <f t="shared" si="52"/>
        <v>51299.039999999994</v>
      </c>
    </row>
    <row r="1655" spans="1:11">
      <c r="A1655" s="141">
        <v>1655</v>
      </c>
      <c r="B1655" s="142">
        <v>43748</v>
      </c>
      <c r="C1655" s="149">
        <v>10.8</v>
      </c>
      <c r="D1655" s="141">
        <v>18327.19999999999</v>
      </c>
      <c r="E1655" s="141"/>
      <c r="F1655" s="141"/>
      <c r="G1655" s="141"/>
      <c r="H1655" s="141"/>
      <c r="J1655" s="141">
        <f t="shared" si="51"/>
        <v>1.18</v>
      </c>
      <c r="K1655" s="141">
        <f t="shared" si="52"/>
        <v>51327.359999999993</v>
      </c>
    </row>
    <row r="1656" spans="1:11">
      <c r="A1656" s="141">
        <v>1656</v>
      </c>
      <c r="B1656" s="142">
        <v>43749</v>
      </c>
      <c r="C1656" s="149">
        <v>11.399999999999999</v>
      </c>
      <c r="D1656" s="141">
        <v>18338.599999999991</v>
      </c>
      <c r="E1656" s="141"/>
      <c r="F1656" s="141"/>
      <c r="G1656" s="141"/>
      <c r="H1656" s="141"/>
      <c r="J1656" s="141">
        <f t="shared" si="51"/>
        <v>1.0900000000000003</v>
      </c>
      <c r="K1656" s="141">
        <f t="shared" si="52"/>
        <v>51353.52</v>
      </c>
    </row>
    <row r="1657" spans="1:11">
      <c r="A1657" s="141">
        <v>1657</v>
      </c>
      <c r="B1657" s="142">
        <v>43750</v>
      </c>
      <c r="C1657" s="149">
        <v>15.5</v>
      </c>
      <c r="D1657" s="141">
        <v>18354.099999999991</v>
      </c>
      <c r="E1657" s="141"/>
      <c r="F1657" s="141"/>
      <c r="G1657" s="141"/>
      <c r="H1657" s="141"/>
      <c r="J1657" s="141">
        <f t="shared" si="51"/>
        <v>0.47499999999999998</v>
      </c>
      <c r="K1657" s="141">
        <f t="shared" si="52"/>
        <v>51364.92</v>
      </c>
    </row>
    <row r="1658" spans="1:11">
      <c r="A1658" s="141">
        <v>1658</v>
      </c>
      <c r="B1658" s="142">
        <v>43751</v>
      </c>
      <c r="C1658" s="149">
        <v>16.399999999999999</v>
      </c>
      <c r="D1658" s="141">
        <v>18370.499999999993</v>
      </c>
      <c r="E1658" s="141"/>
      <c r="F1658" s="141"/>
      <c r="G1658" s="141"/>
      <c r="H1658" s="141"/>
      <c r="J1658" s="141">
        <f t="shared" si="51"/>
        <v>0.34000000000000019</v>
      </c>
      <c r="K1658" s="141">
        <f t="shared" si="52"/>
        <v>51373.08</v>
      </c>
    </row>
    <row r="1659" spans="1:11">
      <c r="A1659" s="141">
        <v>1659</v>
      </c>
      <c r="B1659" s="142">
        <v>43752</v>
      </c>
      <c r="C1659" s="149">
        <v>14.2</v>
      </c>
      <c r="D1659" s="141">
        <v>18384.699999999993</v>
      </c>
      <c r="E1659" s="141"/>
      <c r="F1659" s="141"/>
      <c r="G1659" s="141"/>
      <c r="H1659" s="141"/>
      <c r="J1659" s="141">
        <f t="shared" si="51"/>
        <v>0.67000000000000015</v>
      </c>
      <c r="K1659" s="141">
        <f t="shared" si="52"/>
        <v>51389.16</v>
      </c>
    </row>
    <row r="1660" spans="1:11">
      <c r="A1660" s="141">
        <v>1660</v>
      </c>
      <c r="B1660" s="142">
        <v>43753</v>
      </c>
      <c r="C1660" s="149">
        <v>13.100000000000001</v>
      </c>
      <c r="D1660" s="141">
        <v>18397.799999999992</v>
      </c>
      <c r="E1660" s="141"/>
      <c r="F1660" s="141"/>
      <c r="G1660" s="141"/>
      <c r="H1660" s="141"/>
      <c r="J1660" s="141">
        <f t="shared" si="51"/>
        <v>0.83499999999999974</v>
      </c>
      <c r="K1660" s="141">
        <f t="shared" si="52"/>
        <v>51409.200000000004</v>
      </c>
    </row>
    <row r="1661" spans="1:11">
      <c r="A1661" s="141">
        <v>1661</v>
      </c>
      <c r="B1661" s="142">
        <v>43754</v>
      </c>
      <c r="C1661" s="149">
        <v>12.600000000000001</v>
      </c>
      <c r="D1661" s="141">
        <v>18410.399999999991</v>
      </c>
      <c r="E1661" s="141"/>
      <c r="F1661" s="141"/>
      <c r="G1661" s="141"/>
      <c r="H1661" s="141"/>
      <c r="J1661" s="141">
        <f t="shared" si="51"/>
        <v>0.90999999999999981</v>
      </c>
      <c r="K1661" s="141">
        <f t="shared" si="52"/>
        <v>51431.040000000001</v>
      </c>
    </row>
    <row r="1662" spans="1:11">
      <c r="A1662" s="141">
        <v>1662</v>
      </c>
      <c r="B1662" s="142">
        <v>43755</v>
      </c>
      <c r="C1662" s="149">
        <v>12.100000000000001</v>
      </c>
      <c r="D1662" s="141">
        <v>18422.499999999989</v>
      </c>
      <c r="E1662" s="141"/>
      <c r="F1662" s="141"/>
      <c r="G1662" s="141"/>
      <c r="H1662" s="141"/>
      <c r="J1662" s="141">
        <f t="shared" si="51"/>
        <v>0.98499999999999976</v>
      </c>
      <c r="K1662" s="141">
        <f t="shared" si="52"/>
        <v>51454.68</v>
      </c>
    </row>
    <row r="1663" spans="1:11">
      <c r="A1663" s="141">
        <v>1663</v>
      </c>
      <c r="B1663" s="142">
        <v>43756</v>
      </c>
      <c r="C1663" s="149">
        <v>14.1</v>
      </c>
      <c r="D1663" s="141">
        <v>18436.599999999988</v>
      </c>
      <c r="E1663" s="141"/>
      <c r="F1663" s="141"/>
      <c r="G1663" s="141"/>
      <c r="H1663" s="141"/>
      <c r="J1663" s="141">
        <f t="shared" si="51"/>
        <v>0.68500000000000005</v>
      </c>
      <c r="K1663" s="141">
        <f t="shared" si="52"/>
        <v>51471.12</v>
      </c>
    </row>
    <row r="1664" spans="1:11">
      <c r="A1664" s="141">
        <v>1664</v>
      </c>
      <c r="B1664" s="142">
        <v>43757</v>
      </c>
      <c r="C1664" s="149">
        <v>12.100000000000001</v>
      </c>
      <c r="D1664" s="141">
        <v>18448.699999999986</v>
      </c>
      <c r="E1664" s="141"/>
      <c r="F1664" s="141"/>
      <c r="G1664" s="141"/>
      <c r="H1664" s="141"/>
      <c r="J1664" s="141">
        <f t="shared" si="51"/>
        <v>0.98499999999999976</v>
      </c>
      <c r="K1664" s="141">
        <f t="shared" si="52"/>
        <v>51494.76</v>
      </c>
    </row>
    <row r="1665" spans="1:11">
      <c r="A1665" s="141">
        <v>1665</v>
      </c>
      <c r="B1665" s="142">
        <v>43758</v>
      </c>
      <c r="C1665" s="149">
        <v>11.2</v>
      </c>
      <c r="D1665" s="141">
        <v>18459.899999999987</v>
      </c>
      <c r="E1665" s="141"/>
      <c r="F1665" s="141"/>
      <c r="G1665" s="141"/>
      <c r="H1665" s="141"/>
      <c r="J1665" s="141">
        <f t="shared" si="51"/>
        <v>1.1200000000000001</v>
      </c>
      <c r="K1665" s="141">
        <f t="shared" si="52"/>
        <v>51521.64</v>
      </c>
    </row>
    <row r="1666" spans="1:11">
      <c r="A1666" s="141">
        <v>1666</v>
      </c>
      <c r="B1666" s="142">
        <v>43759</v>
      </c>
      <c r="C1666" s="149">
        <v>11</v>
      </c>
      <c r="D1666" s="141">
        <v>18470.899999999987</v>
      </c>
      <c r="E1666" s="141"/>
      <c r="F1666" s="141"/>
      <c r="G1666" s="141"/>
      <c r="H1666" s="141"/>
      <c r="J1666" s="141">
        <f t="shared" si="51"/>
        <v>1.1499999999999999</v>
      </c>
      <c r="K1666" s="141">
        <f t="shared" si="52"/>
        <v>51549.24</v>
      </c>
    </row>
    <row r="1667" spans="1:11">
      <c r="A1667" s="141">
        <v>1667</v>
      </c>
      <c r="B1667" s="142">
        <v>43760</v>
      </c>
      <c r="C1667" s="149">
        <v>11.3</v>
      </c>
      <c r="D1667" s="141">
        <v>18482.199999999986</v>
      </c>
      <c r="E1667" s="141"/>
      <c r="F1667" s="141"/>
      <c r="G1667" s="141"/>
      <c r="H1667" s="141"/>
      <c r="J1667" s="141">
        <f t="shared" si="51"/>
        <v>1.105</v>
      </c>
      <c r="K1667" s="141">
        <f t="shared" si="52"/>
        <v>51575.759999999995</v>
      </c>
    </row>
    <row r="1668" spans="1:11">
      <c r="A1668" s="141">
        <v>1668</v>
      </c>
      <c r="B1668" s="142">
        <v>43761</v>
      </c>
      <c r="C1668" s="149">
        <v>12.399999999999999</v>
      </c>
      <c r="D1668" s="141">
        <v>18494.599999999988</v>
      </c>
      <c r="E1668" s="141"/>
      <c r="F1668" s="141"/>
      <c r="G1668" s="141"/>
      <c r="H1668" s="141"/>
      <c r="J1668" s="141">
        <f t="shared" si="51"/>
        <v>0.94000000000000017</v>
      </c>
      <c r="K1668" s="141">
        <f t="shared" si="52"/>
        <v>51598.319999999992</v>
      </c>
    </row>
    <row r="1669" spans="1:11">
      <c r="A1669" s="141">
        <v>1669</v>
      </c>
      <c r="B1669" s="142">
        <v>43762</v>
      </c>
      <c r="C1669" s="149">
        <v>10.3</v>
      </c>
      <c r="D1669" s="141">
        <v>18504.899999999987</v>
      </c>
      <c r="E1669" s="141"/>
      <c r="F1669" s="141"/>
      <c r="G1669" s="141"/>
      <c r="H1669" s="141"/>
      <c r="J1669" s="141">
        <f t="shared" si="51"/>
        <v>1.2549999999999999</v>
      </c>
      <c r="K1669" s="141">
        <f t="shared" si="52"/>
        <v>51628.439999999995</v>
      </c>
    </row>
    <row r="1670" spans="1:11">
      <c r="A1670" s="141">
        <v>1670</v>
      </c>
      <c r="B1670" s="142">
        <v>43763</v>
      </c>
      <c r="C1670" s="149">
        <v>12.2</v>
      </c>
      <c r="D1670" s="141">
        <v>18517.099999999988</v>
      </c>
      <c r="E1670" s="141"/>
      <c r="F1670" s="141"/>
      <c r="G1670" s="141"/>
      <c r="H1670" s="141"/>
      <c r="J1670" s="141">
        <f t="shared" si="51"/>
        <v>0.97000000000000008</v>
      </c>
      <c r="K1670" s="141">
        <f t="shared" si="52"/>
        <v>51651.719999999994</v>
      </c>
    </row>
    <row r="1671" spans="1:11">
      <c r="A1671" s="141">
        <v>1671</v>
      </c>
      <c r="B1671" s="142">
        <v>43764</v>
      </c>
      <c r="C1671" s="149">
        <v>12.7</v>
      </c>
      <c r="D1671" s="141">
        <v>18529.799999999988</v>
      </c>
      <c r="E1671" s="141"/>
      <c r="F1671" s="141"/>
      <c r="G1671" s="141"/>
      <c r="H1671" s="141"/>
      <c r="J1671" s="141">
        <f t="shared" ref="J1671:J1734" si="53">J$1+(IF(J$3-$C1671&gt;0,J$3-$C1671,0)*J$2/30)</f>
        <v>0.89500000000000002</v>
      </c>
      <c r="K1671" s="141">
        <f t="shared" ref="K1671:K1734" si="54">K1670+J1671*24</f>
        <v>51673.2</v>
      </c>
    </row>
    <row r="1672" spans="1:11">
      <c r="A1672" s="141">
        <v>1672</v>
      </c>
      <c r="B1672" s="142">
        <v>43765</v>
      </c>
      <c r="C1672" s="149">
        <v>12.2</v>
      </c>
      <c r="D1672" s="141">
        <v>18541.999999999989</v>
      </c>
      <c r="E1672" s="141"/>
      <c r="F1672" s="141"/>
      <c r="G1672" s="141"/>
      <c r="H1672" s="141"/>
      <c r="J1672" s="141">
        <f t="shared" si="53"/>
        <v>0.97000000000000008</v>
      </c>
      <c r="K1672" s="141">
        <f t="shared" si="54"/>
        <v>51696.479999999996</v>
      </c>
    </row>
    <row r="1673" spans="1:11">
      <c r="A1673" s="141">
        <v>1673</v>
      </c>
      <c r="B1673" s="142">
        <v>43766</v>
      </c>
      <c r="C1673" s="149">
        <v>7.1000000000000014</v>
      </c>
      <c r="D1673" s="141">
        <v>18549.099999999988</v>
      </c>
      <c r="E1673" s="141"/>
      <c r="F1673" s="141"/>
      <c r="G1673" s="141"/>
      <c r="H1673" s="141"/>
      <c r="J1673" s="141">
        <f t="shared" si="53"/>
        <v>1.7349999999999999</v>
      </c>
      <c r="K1673" s="141">
        <f t="shared" si="54"/>
        <v>51738.119999999995</v>
      </c>
    </row>
    <row r="1674" spans="1:11">
      <c r="A1674" s="141">
        <v>1674</v>
      </c>
      <c r="B1674" s="142">
        <v>43767</v>
      </c>
      <c r="C1674" s="149">
        <v>4.6000000000000014</v>
      </c>
      <c r="D1674" s="141">
        <v>18553.699999999986</v>
      </c>
      <c r="E1674" s="141"/>
      <c r="F1674" s="141"/>
      <c r="G1674" s="141"/>
      <c r="H1674" s="141"/>
      <c r="J1674" s="141">
        <f t="shared" si="53"/>
        <v>2.11</v>
      </c>
      <c r="K1674" s="141">
        <f t="shared" si="54"/>
        <v>51788.759999999995</v>
      </c>
    </row>
    <row r="1675" spans="1:11">
      <c r="A1675" s="141">
        <v>1675</v>
      </c>
      <c r="B1675" s="142">
        <v>43768</v>
      </c>
      <c r="C1675" s="149">
        <v>3</v>
      </c>
      <c r="D1675" s="141">
        <v>18556.699999999986</v>
      </c>
      <c r="E1675" s="141"/>
      <c r="F1675" s="141"/>
      <c r="G1675" s="141"/>
      <c r="H1675" s="141"/>
      <c r="J1675" s="141">
        <f t="shared" si="53"/>
        <v>2.35</v>
      </c>
      <c r="K1675" s="141">
        <f t="shared" si="54"/>
        <v>51845.159999999996</v>
      </c>
    </row>
    <row r="1676" spans="1:11">
      <c r="A1676" s="141">
        <v>1676</v>
      </c>
      <c r="B1676" s="142">
        <v>43769</v>
      </c>
      <c r="C1676" s="149">
        <v>1.1999999999999993</v>
      </c>
      <c r="D1676" s="141">
        <v>18557.899999999987</v>
      </c>
      <c r="E1676" s="141"/>
      <c r="F1676" s="141"/>
      <c r="G1676" s="141"/>
      <c r="H1676" s="141"/>
      <c r="J1676" s="141">
        <f t="shared" si="53"/>
        <v>2.62</v>
      </c>
      <c r="K1676" s="141">
        <f t="shared" si="54"/>
        <v>51908.039999999994</v>
      </c>
    </row>
    <row r="1677" spans="1:11">
      <c r="A1677" s="141">
        <v>1677</v>
      </c>
      <c r="B1677" s="142">
        <v>43770</v>
      </c>
      <c r="C1677" s="149">
        <v>3.1999999999999993</v>
      </c>
      <c r="D1677" s="141">
        <v>18561.099999999988</v>
      </c>
      <c r="E1677" s="141"/>
      <c r="F1677" s="141"/>
      <c r="G1677" s="141"/>
      <c r="H1677" s="141"/>
      <c r="J1677" s="141">
        <f t="shared" si="53"/>
        <v>2.3199999999999998</v>
      </c>
      <c r="K1677" s="141">
        <f t="shared" si="54"/>
        <v>51963.719999999994</v>
      </c>
    </row>
    <row r="1678" spans="1:11">
      <c r="A1678" s="141">
        <v>1678</v>
      </c>
      <c r="B1678" s="142">
        <v>43771</v>
      </c>
      <c r="C1678" s="149">
        <v>8.5</v>
      </c>
      <c r="D1678" s="141">
        <v>18569.599999999988</v>
      </c>
      <c r="E1678" s="141"/>
      <c r="F1678" s="141"/>
      <c r="G1678" s="141"/>
      <c r="H1678" s="141"/>
      <c r="J1678" s="141">
        <f t="shared" si="53"/>
        <v>1.5249999999999999</v>
      </c>
      <c r="K1678" s="141">
        <f t="shared" si="54"/>
        <v>52000.319999999992</v>
      </c>
    </row>
    <row r="1679" spans="1:11">
      <c r="A1679" s="141">
        <v>1679</v>
      </c>
      <c r="B1679" s="142">
        <v>43772</v>
      </c>
      <c r="C1679" s="149">
        <v>8.5</v>
      </c>
      <c r="D1679" s="141">
        <v>18578.099999999988</v>
      </c>
      <c r="E1679" s="141"/>
      <c r="F1679" s="141"/>
      <c r="G1679" s="141"/>
      <c r="H1679" s="141"/>
      <c r="J1679" s="141">
        <f t="shared" si="53"/>
        <v>1.5249999999999999</v>
      </c>
      <c r="K1679" s="141">
        <f t="shared" si="54"/>
        <v>52036.919999999991</v>
      </c>
    </row>
    <row r="1680" spans="1:11">
      <c r="A1680" s="141">
        <v>1680</v>
      </c>
      <c r="B1680" s="142">
        <v>43773</v>
      </c>
      <c r="C1680" s="149">
        <v>10.600000000000001</v>
      </c>
      <c r="D1680" s="141">
        <v>18588.699999999986</v>
      </c>
      <c r="E1680" s="141"/>
      <c r="F1680" s="141"/>
      <c r="G1680" s="141"/>
      <c r="H1680" s="141"/>
      <c r="J1680" s="141">
        <f t="shared" si="53"/>
        <v>1.2099999999999997</v>
      </c>
      <c r="K1680" s="141">
        <f t="shared" si="54"/>
        <v>52065.959999999992</v>
      </c>
    </row>
    <row r="1681" spans="1:11">
      <c r="A1681" s="141">
        <v>1681</v>
      </c>
      <c r="B1681" s="142">
        <v>43774</v>
      </c>
      <c r="C1681" s="149">
        <v>8.3999999999999986</v>
      </c>
      <c r="D1681" s="141">
        <v>18597.099999999988</v>
      </c>
      <c r="E1681" s="141"/>
      <c r="F1681" s="141"/>
      <c r="G1681" s="141"/>
      <c r="H1681" s="141"/>
      <c r="J1681" s="141">
        <f t="shared" si="53"/>
        <v>1.54</v>
      </c>
      <c r="K1681" s="141">
        <f t="shared" si="54"/>
        <v>52102.919999999991</v>
      </c>
    </row>
    <row r="1682" spans="1:11">
      <c r="A1682" s="141">
        <v>1682</v>
      </c>
      <c r="B1682" s="142">
        <v>43775</v>
      </c>
      <c r="C1682" s="149">
        <v>7.8999999999999986</v>
      </c>
      <c r="D1682" s="141">
        <v>18604.999999999989</v>
      </c>
      <c r="E1682" s="141"/>
      <c r="F1682" s="141"/>
      <c r="G1682" s="141"/>
      <c r="H1682" s="141"/>
      <c r="J1682" s="141">
        <f t="shared" si="53"/>
        <v>1.615</v>
      </c>
      <c r="K1682" s="141">
        <f t="shared" si="54"/>
        <v>52141.679999999993</v>
      </c>
    </row>
    <row r="1683" spans="1:11">
      <c r="A1683" s="141">
        <v>1683</v>
      </c>
      <c r="B1683" s="142">
        <v>43776</v>
      </c>
      <c r="C1683" s="149">
        <v>8.3000000000000007</v>
      </c>
      <c r="D1683" s="141">
        <v>18613.299999999988</v>
      </c>
      <c r="E1683" s="141"/>
      <c r="F1683" s="141"/>
      <c r="G1683" s="141"/>
      <c r="H1683" s="141"/>
      <c r="J1683" s="141">
        <f t="shared" si="53"/>
        <v>1.5549999999999999</v>
      </c>
      <c r="K1683" s="141">
        <f t="shared" si="54"/>
        <v>52178.999999999993</v>
      </c>
    </row>
    <row r="1684" spans="1:11">
      <c r="A1684" s="141">
        <v>1684</v>
      </c>
      <c r="B1684" s="142">
        <v>43777</v>
      </c>
      <c r="C1684" s="149">
        <v>6.6000000000000014</v>
      </c>
      <c r="D1684" s="141">
        <v>18619.899999999987</v>
      </c>
      <c r="E1684" s="141"/>
      <c r="F1684" s="141"/>
      <c r="G1684" s="141"/>
      <c r="H1684" s="141"/>
      <c r="J1684" s="141">
        <f t="shared" si="53"/>
        <v>1.8099999999999998</v>
      </c>
      <c r="K1684" s="141">
        <f t="shared" si="54"/>
        <v>52222.439999999995</v>
      </c>
    </row>
    <row r="1685" spans="1:11">
      <c r="A1685" s="141">
        <v>1685</v>
      </c>
      <c r="B1685" s="142">
        <v>43778</v>
      </c>
      <c r="C1685" s="149">
        <v>6.3000000000000007</v>
      </c>
      <c r="D1685" s="141">
        <v>18626.199999999986</v>
      </c>
      <c r="E1685" s="141"/>
      <c r="F1685" s="141"/>
      <c r="G1685" s="141"/>
      <c r="H1685" s="141"/>
      <c r="J1685" s="141">
        <f t="shared" si="53"/>
        <v>1.855</v>
      </c>
      <c r="K1685" s="141">
        <f t="shared" si="54"/>
        <v>52266.959999999992</v>
      </c>
    </row>
    <row r="1686" spans="1:11">
      <c r="A1686" s="141">
        <v>1686</v>
      </c>
      <c r="B1686" s="142">
        <v>43779</v>
      </c>
      <c r="C1686" s="149">
        <v>1.1000000000000014</v>
      </c>
      <c r="D1686" s="141">
        <v>18627.299999999985</v>
      </c>
      <c r="E1686" s="141"/>
      <c r="F1686" s="141"/>
      <c r="G1686" s="141"/>
      <c r="H1686" s="141"/>
      <c r="J1686" s="141">
        <f t="shared" si="53"/>
        <v>2.6349999999999998</v>
      </c>
      <c r="K1686" s="141">
        <f t="shared" si="54"/>
        <v>52330.19999999999</v>
      </c>
    </row>
    <row r="1687" spans="1:11">
      <c r="A1687" s="141">
        <v>1687</v>
      </c>
      <c r="B1687" s="142">
        <v>43780</v>
      </c>
      <c r="C1687" s="149">
        <v>1.1999999999999993</v>
      </c>
      <c r="D1687" s="141">
        <v>18628.499999999985</v>
      </c>
      <c r="E1687" s="141"/>
      <c r="F1687" s="141"/>
      <c r="G1687" s="141"/>
      <c r="H1687" s="141"/>
      <c r="J1687" s="141">
        <f t="shared" si="53"/>
        <v>2.62</v>
      </c>
      <c r="K1687" s="141">
        <f t="shared" si="54"/>
        <v>52393.079999999987</v>
      </c>
    </row>
    <row r="1688" spans="1:11">
      <c r="A1688" s="141">
        <v>1688</v>
      </c>
      <c r="B1688" s="142">
        <v>43781</v>
      </c>
      <c r="C1688" s="149">
        <v>3.6000000000000014</v>
      </c>
      <c r="D1688" s="141">
        <v>18632.099999999984</v>
      </c>
      <c r="E1688" s="141"/>
      <c r="F1688" s="141"/>
      <c r="G1688" s="141"/>
      <c r="H1688" s="141"/>
      <c r="J1688" s="141">
        <f t="shared" si="53"/>
        <v>2.2599999999999998</v>
      </c>
      <c r="K1688" s="141">
        <f t="shared" si="54"/>
        <v>52447.319999999985</v>
      </c>
    </row>
    <row r="1689" spans="1:11">
      <c r="A1689" s="141">
        <v>1689</v>
      </c>
      <c r="B1689" s="142">
        <v>43782</v>
      </c>
      <c r="C1689" s="149">
        <v>2.6000000000000014</v>
      </c>
      <c r="D1689" s="141">
        <v>18634.699999999983</v>
      </c>
      <c r="E1689" s="141"/>
      <c r="F1689" s="141"/>
      <c r="G1689" s="141"/>
      <c r="H1689" s="141"/>
      <c r="J1689" s="141">
        <f t="shared" si="53"/>
        <v>2.4099999999999997</v>
      </c>
      <c r="K1689" s="141">
        <f t="shared" si="54"/>
        <v>52505.159999999982</v>
      </c>
    </row>
    <row r="1690" spans="1:11">
      <c r="A1690" s="141">
        <v>1690</v>
      </c>
      <c r="B1690" s="142">
        <v>43783</v>
      </c>
      <c r="C1690" s="149">
        <v>2.6000000000000014</v>
      </c>
      <c r="D1690" s="141">
        <v>18637.299999999981</v>
      </c>
      <c r="E1690" s="141"/>
      <c r="F1690" s="141"/>
      <c r="G1690" s="141"/>
      <c r="H1690" s="141"/>
      <c r="J1690" s="141">
        <f t="shared" si="53"/>
        <v>2.4099999999999997</v>
      </c>
      <c r="K1690" s="141">
        <f t="shared" si="54"/>
        <v>52562.999999999978</v>
      </c>
    </row>
    <row r="1691" spans="1:11">
      <c r="A1691" s="141">
        <v>1691</v>
      </c>
      <c r="B1691" s="142">
        <v>43784</v>
      </c>
      <c r="C1691" s="149">
        <v>7.3999999999999986</v>
      </c>
      <c r="D1691" s="141">
        <v>18644.699999999983</v>
      </c>
      <c r="E1691" s="141"/>
      <c r="F1691" s="141"/>
      <c r="G1691" s="141"/>
      <c r="H1691" s="141"/>
      <c r="J1691" s="141">
        <f t="shared" si="53"/>
        <v>1.6900000000000002</v>
      </c>
      <c r="K1691" s="141">
        <f t="shared" si="54"/>
        <v>52603.559999999976</v>
      </c>
    </row>
    <row r="1692" spans="1:11">
      <c r="A1692" s="141">
        <v>1692</v>
      </c>
      <c r="B1692" s="142">
        <v>43785</v>
      </c>
      <c r="C1692" s="149">
        <v>8.1999999999999993</v>
      </c>
      <c r="D1692" s="141">
        <v>18652.899999999983</v>
      </c>
      <c r="E1692" s="141"/>
      <c r="F1692" s="141"/>
      <c r="G1692" s="141"/>
      <c r="H1692" s="141"/>
      <c r="J1692" s="141">
        <f t="shared" si="53"/>
        <v>1.57</v>
      </c>
      <c r="K1692" s="141">
        <f t="shared" si="54"/>
        <v>52641.239999999976</v>
      </c>
    </row>
    <row r="1693" spans="1:11">
      <c r="A1693" s="141">
        <v>1693</v>
      </c>
      <c r="B1693" s="142">
        <v>43786</v>
      </c>
      <c r="C1693" s="149">
        <v>10.100000000000001</v>
      </c>
      <c r="D1693" s="141">
        <v>18662.999999999982</v>
      </c>
      <c r="E1693" s="141"/>
      <c r="F1693" s="141"/>
      <c r="G1693" s="141"/>
      <c r="H1693" s="141"/>
      <c r="J1693" s="141">
        <f t="shared" si="53"/>
        <v>1.2849999999999997</v>
      </c>
      <c r="K1693" s="141">
        <f t="shared" si="54"/>
        <v>52672.079999999973</v>
      </c>
    </row>
    <row r="1694" spans="1:11">
      <c r="A1694" s="141">
        <v>1694</v>
      </c>
      <c r="B1694" s="142">
        <v>43787</v>
      </c>
      <c r="C1694" s="149">
        <v>8</v>
      </c>
      <c r="D1694" s="141">
        <v>18670.999999999982</v>
      </c>
      <c r="E1694" s="141"/>
      <c r="F1694" s="141"/>
      <c r="G1694" s="141"/>
      <c r="H1694" s="141"/>
      <c r="J1694" s="141">
        <f t="shared" si="53"/>
        <v>1.6</v>
      </c>
      <c r="K1694" s="141">
        <f t="shared" si="54"/>
        <v>52710.479999999974</v>
      </c>
    </row>
    <row r="1695" spans="1:11">
      <c r="A1695" s="141">
        <v>1695</v>
      </c>
      <c r="B1695" s="142">
        <v>43788</v>
      </c>
      <c r="C1695" s="149">
        <v>4.6999999999999993</v>
      </c>
      <c r="D1695" s="141">
        <v>18675.699999999983</v>
      </c>
      <c r="E1695" s="141"/>
      <c r="F1695" s="141"/>
      <c r="G1695" s="141"/>
      <c r="H1695" s="141"/>
      <c r="J1695" s="141">
        <f t="shared" si="53"/>
        <v>2.0949999999999998</v>
      </c>
      <c r="K1695" s="141">
        <f t="shared" si="54"/>
        <v>52760.759999999973</v>
      </c>
    </row>
    <row r="1696" spans="1:11">
      <c r="A1696" s="141">
        <v>1696</v>
      </c>
      <c r="B1696" s="142">
        <v>43789</v>
      </c>
      <c r="C1696" s="149">
        <v>6.3000000000000007</v>
      </c>
      <c r="D1696" s="141">
        <v>18681.999999999982</v>
      </c>
      <c r="E1696" s="141"/>
      <c r="F1696" s="141"/>
      <c r="G1696" s="141"/>
      <c r="H1696" s="141"/>
      <c r="J1696" s="141">
        <f t="shared" si="53"/>
        <v>1.855</v>
      </c>
      <c r="K1696" s="141">
        <f t="shared" si="54"/>
        <v>52805.27999999997</v>
      </c>
    </row>
    <row r="1697" spans="1:11">
      <c r="A1697" s="141">
        <v>1697</v>
      </c>
      <c r="B1697" s="142">
        <v>43790</v>
      </c>
      <c r="C1697" s="149">
        <v>8</v>
      </c>
      <c r="D1697" s="141">
        <v>18689.999999999982</v>
      </c>
      <c r="E1697" s="141"/>
      <c r="F1697" s="141"/>
      <c r="G1697" s="141"/>
      <c r="H1697" s="141"/>
      <c r="J1697" s="141">
        <f t="shared" si="53"/>
        <v>1.6</v>
      </c>
      <c r="K1697" s="141">
        <f t="shared" si="54"/>
        <v>52843.679999999971</v>
      </c>
    </row>
    <row r="1698" spans="1:11">
      <c r="A1698" s="141">
        <v>1698</v>
      </c>
      <c r="B1698" s="142">
        <v>43791</v>
      </c>
      <c r="C1698" s="149">
        <v>8.3999999999999986</v>
      </c>
      <c r="D1698" s="141">
        <v>18698.399999999983</v>
      </c>
      <c r="E1698" s="141"/>
      <c r="F1698" s="141"/>
      <c r="G1698" s="141"/>
      <c r="H1698" s="141"/>
      <c r="J1698" s="141">
        <f t="shared" si="53"/>
        <v>1.54</v>
      </c>
      <c r="K1698" s="141">
        <f t="shared" si="54"/>
        <v>52880.63999999997</v>
      </c>
    </row>
    <row r="1699" spans="1:11">
      <c r="A1699" s="141">
        <v>1699</v>
      </c>
      <c r="B1699" s="142">
        <v>43792</v>
      </c>
      <c r="C1699" s="149">
        <v>7.6999999999999993</v>
      </c>
      <c r="D1699" s="141">
        <v>18706.099999999984</v>
      </c>
      <c r="E1699" s="141"/>
      <c r="F1699" s="141"/>
      <c r="G1699" s="141"/>
      <c r="H1699" s="141"/>
      <c r="J1699" s="141">
        <f t="shared" si="53"/>
        <v>1.645</v>
      </c>
      <c r="K1699" s="141">
        <f t="shared" si="54"/>
        <v>52920.119999999974</v>
      </c>
    </row>
    <row r="1700" spans="1:11">
      <c r="A1700" s="141">
        <v>1700</v>
      </c>
      <c r="B1700" s="142">
        <v>43793</v>
      </c>
      <c r="C1700" s="149">
        <v>6.8000000000000007</v>
      </c>
      <c r="D1700" s="141">
        <v>18712.899999999983</v>
      </c>
      <c r="E1700" s="141"/>
      <c r="F1700" s="141"/>
      <c r="G1700" s="141"/>
      <c r="H1700" s="141"/>
      <c r="J1700" s="141">
        <f t="shared" si="53"/>
        <v>1.78</v>
      </c>
      <c r="K1700" s="141">
        <f t="shared" si="54"/>
        <v>52962.839999999975</v>
      </c>
    </row>
    <row r="1701" spans="1:11">
      <c r="A1701" s="141">
        <v>1701</v>
      </c>
      <c r="B1701" s="142">
        <v>43794</v>
      </c>
      <c r="C1701" s="149">
        <v>5.6000000000000014</v>
      </c>
      <c r="D1701" s="141">
        <v>18718.499999999982</v>
      </c>
      <c r="E1701" s="141"/>
      <c r="F1701" s="141"/>
      <c r="G1701" s="141"/>
      <c r="H1701" s="141"/>
      <c r="J1701" s="141">
        <f t="shared" si="53"/>
        <v>1.96</v>
      </c>
      <c r="K1701" s="141">
        <f t="shared" si="54"/>
        <v>53009.879999999976</v>
      </c>
    </row>
    <row r="1702" spans="1:11">
      <c r="A1702" s="141">
        <v>1702</v>
      </c>
      <c r="B1702" s="142">
        <v>43795</v>
      </c>
      <c r="C1702" s="149">
        <v>4.8999999999999986</v>
      </c>
      <c r="D1702" s="141">
        <v>18723.399999999983</v>
      </c>
      <c r="E1702" s="141"/>
      <c r="F1702" s="141"/>
      <c r="G1702" s="141"/>
      <c r="H1702" s="141"/>
      <c r="J1702" s="141">
        <f t="shared" si="53"/>
        <v>2.0650000000000004</v>
      </c>
      <c r="K1702" s="141">
        <f t="shared" si="54"/>
        <v>53059.439999999973</v>
      </c>
    </row>
    <row r="1703" spans="1:11">
      <c r="A1703" s="141">
        <v>1703</v>
      </c>
      <c r="B1703" s="142">
        <v>43796</v>
      </c>
      <c r="C1703" s="149">
        <v>5.3000000000000007</v>
      </c>
      <c r="D1703" s="141">
        <v>18728.699999999983</v>
      </c>
      <c r="E1703" s="141"/>
      <c r="F1703" s="141"/>
      <c r="G1703" s="141"/>
      <c r="H1703" s="141"/>
      <c r="J1703" s="141">
        <f t="shared" si="53"/>
        <v>2.0049999999999999</v>
      </c>
      <c r="K1703" s="141">
        <f t="shared" si="54"/>
        <v>53107.559999999976</v>
      </c>
    </row>
    <row r="1704" spans="1:11">
      <c r="A1704" s="141">
        <v>1704</v>
      </c>
      <c r="B1704" s="142">
        <v>43797</v>
      </c>
      <c r="C1704" s="149">
        <v>8.3999999999999986</v>
      </c>
      <c r="D1704" s="141">
        <v>18737.099999999984</v>
      </c>
      <c r="E1704" s="141"/>
      <c r="F1704" s="141"/>
      <c r="G1704" s="141"/>
      <c r="H1704" s="141"/>
      <c r="J1704" s="141">
        <f t="shared" si="53"/>
        <v>1.54</v>
      </c>
      <c r="K1704" s="141">
        <f t="shared" si="54"/>
        <v>53144.519999999975</v>
      </c>
    </row>
    <row r="1705" spans="1:11">
      <c r="A1705" s="141">
        <v>1705</v>
      </c>
      <c r="B1705" s="142">
        <v>43798</v>
      </c>
      <c r="C1705" s="149">
        <v>7.1000000000000014</v>
      </c>
      <c r="D1705" s="141">
        <v>18744.199999999983</v>
      </c>
      <c r="E1705" s="141"/>
      <c r="F1705" s="141"/>
      <c r="G1705" s="141"/>
      <c r="H1705" s="141"/>
      <c r="J1705" s="141">
        <f t="shared" si="53"/>
        <v>1.7349999999999999</v>
      </c>
      <c r="K1705" s="141">
        <f t="shared" si="54"/>
        <v>53186.159999999974</v>
      </c>
    </row>
    <row r="1706" spans="1:11">
      <c r="A1706" s="141">
        <v>1706</v>
      </c>
      <c r="B1706" s="142">
        <v>43799</v>
      </c>
      <c r="C1706" s="149">
        <v>1.8999999999999986</v>
      </c>
      <c r="D1706" s="141">
        <v>18746.099999999984</v>
      </c>
      <c r="E1706" s="141"/>
      <c r="F1706" s="141"/>
      <c r="G1706" s="141"/>
      <c r="H1706" s="141"/>
      <c r="J1706" s="141">
        <f t="shared" si="53"/>
        <v>2.5150000000000001</v>
      </c>
      <c r="K1706" s="141">
        <f t="shared" si="54"/>
        <v>53246.519999999975</v>
      </c>
    </row>
    <row r="1707" spans="1:11">
      <c r="A1707" s="141">
        <v>1707</v>
      </c>
      <c r="B1707" s="142">
        <v>43800</v>
      </c>
      <c r="C1707" s="149">
        <v>0.39999999999999858</v>
      </c>
      <c r="D1707" s="141">
        <v>18746.499999999985</v>
      </c>
      <c r="E1707" s="141"/>
      <c r="F1707" s="141"/>
      <c r="G1707" s="141"/>
      <c r="H1707" s="141"/>
      <c r="J1707" s="141">
        <f t="shared" si="53"/>
        <v>2.74</v>
      </c>
      <c r="K1707" s="141">
        <f t="shared" si="54"/>
        <v>53312.279999999977</v>
      </c>
    </row>
    <row r="1708" spans="1:11">
      <c r="A1708" s="141">
        <v>1708</v>
      </c>
      <c r="B1708" s="142">
        <v>43801</v>
      </c>
      <c r="C1708" s="149">
        <v>2.3000000000000007</v>
      </c>
      <c r="D1708" s="141">
        <v>18748.799999999985</v>
      </c>
      <c r="E1708" s="141"/>
      <c r="F1708" s="141"/>
      <c r="G1708" s="141"/>
      <c r="H1708" s="141"/>
      <c r="J1708" s="141">
        <f t="shared" si="53"/>
        <v>2.4549999999999996</v>
      </c>
      <c r="K1708" s="141">
        <f t="shared" si="54"/>
        <v>53371.199999999975</v>
      </c>
    </row>
    <row r="1709" spans="1:11">
      <c r="A1709" s="141">
        <v>1709</v>
      </c>
      <c r="B1709" s="142">
        <v>43802</v>
      </c>
      <c r="C1709" s="149">
        <v>1.8000000000000007</v>
      </c>
      <c r="D1709" s="141">
        <v>18750.599999999984</v>
      </c>
      <c r="E1709" s="141"/>
      <c r="F1709" s="141"/>
      <c r="G1709" s="141"/>
      <c r="H1709" s="141"/>
      <c r="J1709" s="141">
        <f t="shared" si="53"/>
        <v>2.5299999999999998</v>
      </c>
      <c r="K1709" s="141">
        <f t="shared" si="54"/>
        <v>53431.919999999976</v>
      </c>
    </row>
    <row r="1710" spans="1:11">
      <c r="A1710" s="141">
        <v>1710</v>
      </c>
      <c r="B1710" s="142">
        <v>43803</v>
      </c>
      <c r="C1710" s="149">
        <v>1.8999999999999986</v>
      </c>
      <c r="D1710" s="141">
        <v>18752.499999999985</v>
      </c>
      <c r="E1710" s="141"/>
      <c r="F1710" s="141"/>
      <c r="G1710" s="141"/>
      <c r="H1710" s="141"/>
      <c r="J1710" s="141">
        <f t="shared" si="53"/>
        <v>2.5150000000000001</v>
      </c>
      <c r="K1710" s="141">
        <f t="shared" si="54"/>
        <v>53492.279999999977</v>
      </c>
    </row>
    <row r="1711" spans="1:11">
      <c r="A1711" s="141">
        <v>1711</v>
      </c>
      <c r="B1711" s="142">
        <v>43804</v>
      </c>
      <c r="C1711" s="149">
        <v>-1.1000000000000014</v>
      </c>
      <c r="D1711" s="141">
        <v>18751.399999999987</v>
      </c>
      <c r="E1711" s="141"/>
      <c r="F1711" s="141"/>
      <c r="G1711" s="141"/>
      <c r="H1711" s="141"/>
      <c r="J1711" s="141">
        <f t="shared" si="53"/>
        <v>2.9650000000000003</v>
      </c>
      <c r="K1711" s="141">
        <f t="shared" si="54"/>
        <v>53563.439999999981</v>
      </c>
    </row>
    <row r="1712" spans="1:11">
      <c r="A1712" s="141">
        <v>1712</v>
      </c>
      <c r="B1712" s="142">
        <v>43805</v>
      </c>
      <c r="C1712" s="149">
        <v>0.30000000000000071</v>
      </c>
      <c r="D1712" s="141">
        <v>18751.699999999986</v>
      </c>
      <c r="E1712" s="141"/>
      <c r="F1712" s="141"/>
      <c r="G1712" s="141"/>
      <c r="H1712" s="141"/>
      <c r="J1712" s="141">
        <f t="shared" si="53"/>
        <v>2.7549999999999999</v>
      </c>
      <c r="K1712" s="141">
        <f t="shared" si="54"/>
        <v>53629.559999999983</v>
      </c>
    </row>
    <row r="1713" spans="1:11">
      <c r="A1713" s="141">
        <v>1713</v>
      </c>
      <c r="B1713" s="142">
        <v>43806</v>
      </c>
      <c r="C1713" s="149">
        <v>6.6000000000000014</v>
      </c>
      <c r="D1713" s="141">
        <v>18758.299999999985</v>
      </c>
      <c r="E1713" s="141"/>
      <c r="F1713" s="141"/>
      <c r="G1713" s="141"/>
      <c r="H1713" s="141"/>
      <c r="J1713" s="141">
        <f t="shared" si="53"/>
        <v>1.8099999999999998</v>
      </c>
      <c r="K1713" s="141">
        <f t="shared" si="54"/>
        <v>53672.999999999985</v>
      </c>
    </row>
    <row r="1714" spans="1:11">
      <c r="A1714" s="141">
        <v>1714</v>
      </c>
      <c r="B1714" s="142">
        <v>43807</v>
      </c>
      <c r="C1714" s="149">
        <v>8.1000000000000014</v>
      </c>
      <c r="D1714" s="141">
        <v>18766.399999999983</v>
      </c>
      <c r="E1714" s="141"/>
      <c r="F1714" s="141"/>
      <c r="G1714" s="141"/>
      <c r="H1714" s="141"/>
      <c r="J1714" s="141">
        <f t="shared" si="53"/>
        <v>1.585</v>
      </c>
      <c r="K1714" s="141">
        <f t="shared" si="54"/>
        <v>53711.039999999986</v>
      </c>
    </row>
    <row r="1715" spans="1:11">
      <c r="A1715" s="141">
        <v>1715</v>
      </c>
      <c r="B1715" s="142">
        <v>43808</v>
      </c>
      <c r="C1715" s="149">
        <v>7.6999999999999993</v>
      </c>
      <c r="D1715" s="141">
        <v>18774.099999999984</v>
      </c>
      <c r="E1715" s="141"/>
      <c r="F1715" s="141"/>
      <c r="G1715" s="141"/>
      <c r="H1715" s="141"/>
      <c r="J1715" s="141">
        <f t="shared" si="53"/>
        <v>1.645</v>
      </c>
      <c r="K1715" s="141">
        <f t="shared" si="54"/>
        <v>53750.51999999999</v>
      </c>
    </row>
    <row r="1716" spans="1:11">
      <c r="A1716" s="141">
        <v>1716</v>
      </c>
      <c r="B1716" s="142">
        <v>43809</v>
      </c>
      <c r="C1716" s="149">
        <v>3</v>
      </c>
      <c r="D1716" s="141">
        <v>18777.099999999984</v>
      </c>
      <c r="E1716" s="141"/>
      <c r="F1716" s="141"/>
      <c r="G1716" s="141"/>
      <c r="H1716" s="141"/>
      <c r="J1716" s="141">
        <f t="shared" si="53"/>
        <v>2.35</v>
      </c>
      <c r="K1716" s="141">
        <f t="shared" si="54"/>
        <v>53806.919999999991</v>
      </c>
    </row>
    <row r="1717" spans="1:11">
      <c r="A1717" s="141">
        <v>1717</v>
      </c>
      <c r="B1717" s="142">
        <v>43810</v>
      </c>
      <c r="C1717" s="149">
        <v>-1.1000000000000014</v>
      </c>
      <c r="D1717" s="141">
        <v>18775.999999999985</v>
      </c>
      <c r="E1717" s="141"/>
      <c r="F1717" s="141"/>
      <c r="G1717" s="141"/>
      <c r="H1717" s="141"/>
      <c r="J1717" s="141">
        <f t="shared" si="53"/>
        <v>2.9650000000000003</v>
      </c>
      <c r="K1717" s="141">
        <f t="shared" si="54"/>
        <v>53878.079999999994</v>
      </c>
    </row>
    <row r="1718" spans="1:11">
      <c r="A1718" s="141">
        <v>1718</v>
      </c>
      <c r="B1718" s="142">
        <v>43811</v>
      </c>
      <c r="C1718" s="149">
        <v>0.19999999999999929</v>
      </c>
      <c r="D1718" s="141">
        <v>18776.199999999986</v>
      </c>
      <c r="E1718" s="141"/>
      <c r="F1718" s="141"/>
      <c r="G1718" s="141"/>
      <c r="H1718" s="141"/>
      <c r="J1718" s="141">
        <f t="shared" si="53"/>
        <v>2.7700000000000005</v>
      </c>
      <c r="K1718" s="141">
        <f t="shared" si="54"/>
        <v>53944.56</v>
      </c>
    </row>
    <row r="1719" spans="1:11">
      <c r="A1719" s="141">
        <v>1719</v>
      </c>
      <c r="B1719" s="142">
        <v>43812</v>
      </c>
      <c r="C1719" s="149">
        <v>0.30000000000000071</v>
      </c>
      <c r="D1719" s="141">
        <v>18776.499999999985</v>
      </c>
      <c r="E1719" s="141"/>
      <c r="F1719" s="141"/>
      <c r="G1719" s="141"/>
      <c r="H1719" s="141"/>
      <c r="J1719" s="141">
        <f t="shared" si="53"/>
        <v>2.7549999999999999</v>
      </c>
      <c r="K1719" s="141">
        <f t="shared" si="54"/>
        <v>54010.68</v>
      </c>
    </row>
    <row r="1720" spans="1:11">
      <c r="A1720" s="141">
        <v>1720</v>
      </c>
      <c r="B1720" s="142">
        <v>43813</v>
      </c>
      <c r="C1720" s="149">
        <v>5.1000000000000014</v>
      </c>
      <c r="D1720" s="141">
        <v>18781.599999999984</v>
      </c>
      <c r="E1720" s="141"/>
      <c r="F1720" s="141"/>
      <c r="G1720" s="141"/>
      <c r="H1720" s="141"/>
      <c r="J1720" s="141">
        <f t="shared" si="53"/>
        <v>2.0350000000000001</v>
      </c>
      <c r="K1720" s="141">
        <f t="shared" si="54"/>
        <v>54059.519999999997</v>
      </c>
    </row>
    <row r="1721" spans="1:11">
      <c r="A1721" s="141">
        <v>1721</v>
      </c>
      <c r="B1721" s="142">
        <v>43814</v>
      </c>
      <c r="C1721" s="149">
        <v>7.6000000000000014</v>
      </c>
      <c r="D1721" s="141">
        <v>18789.199999999983</v>
      </c>
      <c r="E1721" s="141"/>
      <c r="F1721" s="141"/>
      <c r="G1721" s="141"/>
      <c r="H1721" s="141"/>
      <c r="J1721" s="141">
        <f t="shared" si="53"/>
        <v>1.66</v>
      </c>
      <c r="K1721" s="141">
        <f t="shared" si="54"/>
        <v>54099.359999999993</v>
      </c>
    </row>
    <row r="1722" spans="1:11">
      <c r="A1722" s="141">
        <v>1722</v>
      </c>
      <c r="B1722" s="142">
        <v>43815</v>
      </c>
      <c r="C1722" s="149">
        <v>6.1000000000000014</v>
      </c>
      <c r="D1722" s="141">
        <v>18795.299999999981</v>
      </c>
      <c r="E1722" s="141"/>
      <c r="F1722" s="141"/>
      <c r="G1722" s="141"/>
      <c r="H1722" s="141"/>
      <c r="J1722" s="141">
        <f t="shared" si="53"/>
        <v>1.885</v>
      </c>
      <c r="K1722" s="141">
        <f t="shared" si="54"/>
        <v>54144.599999999991</v>
      </c>
    </row>
    <row r="1723" spans="1:11">
      <c r="A1723" s="141">
        <v>1723</v>
      </c>
      <c r="B1723" s="142">
        <v>43816</v>
      </c>
      <c r="C1723" s="149">
        <v>1.3000000000000007</v>
      </c>
      <c r="D1723" s="141">
        <v>18796.59999999998</v>
      </c>
      <c r="E1723" s="141"/>
      <c r="F1723" s="141"/>
      <c r="G1723" s="141"/>
      <c r="H1723" s="141"/>
      <c r="J1723" s="141">
        <f t="shared" si="53"/>
        <v>2.6049999999999995</v>
      </c>
      <c r="K1723" s="141">
        <f t="shared" si="54"/>
        <v>54207.119999999988</v>
      </c>
    </row>
    <row r="1724" spans="1:11">
      <c r="A1724" s="141">
        <v>1724</v>
      </c>
      <c r="B1724" s="142">
        <v>43817</v>
      </c>
      <c r="C1724" s="149">
        <v>2.1999999999999993</v>
      </c>
      <c r="D1724" s="141">
        <v>18798.799999999981</v>
      </c>
      <c r="E1724" s="141"/>
      <c r="F1724" s="141"/>
      <c r="G1724" s="141"/>
      <c r="H1724" s="141"/>
      <c r="J1724" s="141">
        <f t="shared" si="53"/>
        <v>2.4700000000000002</v>
      </c>
      <c r="K1724" s="141">
        <f t="shared" si="54"/>
        <v>54266.399999999987</v>
      </c>
    </row>
    <row r="1725" spans="1:11">
      <c r="A1725" s="141">
        <v>1725</v>
      </c>
      <c r="B1725" s="142">
        <v>43818</v>
      </c>
      <c r="C1725" s="149">
        <v>1.6000000000000014</v>
      </c>
      <c r="D1725" s="141">
        <v>18800.39999999998</v>
      </c>
      <c r="E1725" s="141"/>
      <c r="F1725" s="141"/>
      <c r="G1725" s="141"/>
      <c r="H1725" s="141"/>
      <c r="J1725" s="141">
        <f t="shared" si="53"/>
        <v>2.56</v>
      </c>
      <c r="K1725" s="141">
        <f t="shared" si="54"/>
        <v>54327.839999999989</v>
      </c>
    </row>
    <row r="1726" spans="1:11">
      <c r="A1726" s="141">
        <v>1726</v>
      </c>
      <c r="B1726" s="142">
        <v>43819</v>
      </c>
      <c r="C1726" s="149">
        <v>5.1000000000000014</v>
      </c>
      <c r="D1726" s="141">
        <v>18805.499999999978</v>
      </c>
      <c r="E1726" s="141"/>
      <c r="F1726" s="141"/>
      <c r="G1726" s="141"/>
      <c r="H1726" s="141"/>
      <c r="J1726" s="141">
        <f t="shared" si="53"/>
        <v>2.0350000000000001</v>
      </c>
      <c r="K1726" s="141">
        <f t="shared" si="54"/>
        <v>54376.679999999986</v>
      </c>
    </row>
    <row r="1727" spans="1:11">
      <c r="A1727" s="141">
        <v>1727</v>
      </c>
      <c r="B1727" s="142">
        <v>43820</v>
      </c>
      <c r="C1727" s="149">
        <v>5.5</v>
      </c>
      <c r="D1727" s="141">
        <v>18810.999999999978</v>
      </c>
      <c r="E1727" s="141"/>
      <c r="F1727" s="141"/>
      <c r="G1727" s="141"/>
      <c r="H1727" s="141"/>
      <c r="J1727" s="141">
        <f t="shared" si="53"/>
        <v>1.9750000000000001</v>
      </c>
      <c r="K1727" s="141">
        <f t="shared" si="54"/>
        <v>54424.079999999987</v>
      </c>
    </row>
    <row r="1728" spans="1:11">
      <c r="A1728" s="141">
        <v>1728</v>
      </c>
      <c r="B1728" s="142">
        <v>43821</v>
      </c>
      <c r="C1728" s="149">
        <v>2.8999999999999986</v>
      </c>
      <c r="D1728" s="141">
        <v>18813.89999999998</v>
      </c>
      <c r="E1728" s="141"/>
      <c r="F1728" s="141"/>
      <c r="G1728" s="141"/>
      <c r="H1728" s="141"/>
      <c r="J1728" s="141">
        <f t="shared" si="53"/>
        <v>2.3650000000000002</v>
      </c>
      <c r="K1728" s="141">
        <f t="shared" si="54"/>
        <v>54480.839999999989</v>
      </c>
    </row>
    <row r="1729" spans="1:11">
      <c r="A1729" s="141">
        <v>1729</v>
      </c>
      <c r="B1729" s="142">
        <v>43822</v>
      </c>
      <c r="C1729" s="149">
        <v>6.1000000000000014</v>
      </c>
      <c r="D1729" s="141">
        <v>18819.999999999978</v>
      </c>
      <c r="E1729" s="141"/>
      <c r="F1729" s="141"/>
      <c r="G1729" s="141"/>
      <c r="H1729" s="141"/>
      <c r="J1729" s="141">
        <f t="shared" si="53"/>
        <v>1.885</v>
      </c>
      <c r="K1729" s="141">
        <f t="shared" si="54"/>
        <v>54526.079999999987</v>
      </c>
    </row>
    <row r="1730" spans="1:11">
      <c r="A1730" s="141">
        <v>1730</v>
      </c>
      <c r="B1730" s="142">
        <v>43823</v>
      </c>
      <c r="C1730" s="149">
        <v>5</v>
      </c>
      <c r="D1730" s="141">
        <v>18824.999999999978</v>
      </c>
      <c r="E1730" s="141"/>
      <c r="F1730" s="141"/>
      <c r="G1730" s="141"/>
      <c r="H1730" s="141"/>
      <c r="J1730" s="141">
        <f t="shared" si="53"/>
        <v>2.0499999999999998</v>
      </c>
      <c r="K1730" s="141">
        <f t="shared" si="54"/>
        <v>54575.279999999984</v>
      </c>
    </row>
    <row r="1731" spans="1:11">
      <c r="A1731" s="141">
        <v>1731</v>
      </c>
      <c r="B1731" s="142">
        <v>43824</v>
      </c>
      <c r="C1731" s="149">
        <v>6.1000000000000014</v>
      </c>
      <c r="D1731" s="141">
        <v>18831.099999999977</v>
      </c>
      <c r="E1731" s="141"/>
      <c r="F1731" s="141"/>
      <c r="G1731" s="141"/>
      <c r="H1731" s="141"/>
      <c r="J1731" s="141">
        <f t="shared" si="53"/>
        <v>1.885</v>
      </c>
      <c r="K1731" s="141">
        <f t="shared" si="54"/>
        <v>54620.519999999982</v>
      </c>
    </row>
    <row r="1732" spans="1:11">
      <c r="A1732" s="141">
        <v>1732</v>
      </c>
      <c r="B1732" s="142">
        <v>43825</v>
      </c>
      <c r="C1732" s="149">
        <v>3.8999999999999986</v>
      </c>
      <c r="D1732" s="141">
        <v>18834.999999999978</v>
      </c>
      <c r="E1732" s="141"/>
      <c r="F1732" s="141"/>
      <c r="G1732" s="141"/>
      <c r="H1732" s="141"/>
      <c r="J1732" s="141">
        <f t="shared" si="53"/>
        <v>2.2149999999999999</v>
      </c>
      <c r="K1732" s="141">
        <f t="shared" si="54"/>
        <v>54673.679999999986</v>
      </c>
    </row>
    <row r="1733" spans="1:11">
      <c r="A1733" s="141">
        <v>1733</v>
      </c>
      <c r="B1733" s="142">
        <v>43826</v>
      </c>
      <c r="C1733" s="149">
        <v>2.6999999999999993</v>
      </c>
      <c r="D1733" s="141">
        <v>18837.699999999979</v>
      </c>
      <c r="E1733" s="141"/>
      <c r="F1733" s="141"/>
      <c r="G1733" s="141"/>
      <c r="H1733" s="141"/>
      <c r="J1733" s="141">
        <f t="shared" si="53"/>
        <v>2.3950000000000005</v>
      </c>
      <c r="K1733" s="141">
        <f t="shared" si="54"/>
        <v>54731.159999999989</v>
      </c>
    </row>
    <row r="1734" spans="1:11">
      <c r="A1734" s="141">
        <v>1734</v>
      </c>
      <c r="B1734" s="142">
        <v>43827</v>
      </c>
      <c r="C1734" s="149">
        <v>0.60000000000000142</v>
      </c>
      <c r="D1734" s="141">
        <v>18838.299999999977</v>
      </c>
      <c r="E1734" s="141"/>
      <c r="F1734" s="141"/>
      <c r="G1734" s="141"/>
      <c r="H1734" s="141"/>
      <c r="J1734" s="141">
        <f t="shared" si="53"/>
        <v>2.71</v>
      </c>
      <c r="K1734" s="141">
        <f t="shared" si="54"/>
        <v>54796.19999999999</v>
      </c>
    </row>
    <row r="1735" spans="1:11">
      <c r="A1735" s="141">
        <v>1735</v>
      </c>
      <c r="B1735" s="142">
        <v>43828</v>
      </c>
      <c r="C1735" s="149">
        <v>-0.89999999999999858</v>
      </c>
      <c r="D1735" s="141">
        <v>18837.399999999976</v>
      </c>
      <c r="E1735" s="141"/>
      <c r="F1735" s="141"/>
      <c r="G1735" s="141"/>
      <c r="H1735" s="141"/>
      <c r="J1735" s="141">
        <f t="shared" ref="J1735:J1798" si="55">J$1+(IF(J$3-$C1735&gt;0,J$3-$C1735,0)*J$2/30)</f>
        <v>2.9350000000000001</v>
      </c>
      <c r="K1735" s="141">
        <f t="shared" ref="K1735:K1798" si="56">K1734+J1735*24</f>
        <v>54866.639999999992</v>
      </c>
    </row>
    <row r="1736" spans="1:11">
      <c r="A1736" s="141">
        <v>1736</v>
      </c>
      <c r="B1736" s="142">
        <v>43829</v>
      </c>
      <c r="C1736" s="149">
        <v>0.10000000000000142</v>
      </c>
      <c r="D1736" s="141">
        <v>18837.499999999975</v>
      </c>
      <c r="E1736" s="141"/>
      <c r="F1736" s="141"/>
      <c r="G1736" s="141"/>
      <c r="H1736" s="141"/>
      <c r="J1736" s="141">
        <f t="shared" si="55"/>
        <v>2.7849999999999997</v>
      </c>
      <c r="K1736" s="141">
        <f t="shared" si="56"/>
        <v>54933.479999999989</v>
      </c>
    </row>
    <row r="1737" spans="1:11">
      <c r="A1737" s="141">
        <v>1737</v>
      </c>
      <c r="B1737" s="142">
        <v>43830</v>
      </c>
      <c r="C1737" s="149">
        <v>3.3000000000000007</v>
      </c>
      <c r="D1737" s="141">
        <v>18840.799999999974</v>
      </c>
      <c r="E1737" s="141"/>
      <c r="F1737" s="141"/>
      <c r="G1737" s="141"/>
      <c r="H1737" s="141"/>
      <c r="J1737" s="141">
        <f t="shared" si="55"/>
        <v>2.3050000000000002</v>
      </c>
      <c r="K1737" s="141">
        <f t="shared" si="56"/>
        <v>54988.799999999988</v>
      </c>
    </row>
    <row r="1738" spans="1:11">
      <c r="A1738" s="141">
        <v>1738</v>
      </c>
      <c r="B1738" s="142">
        <v>43831</v>
      </c>
      <c r="C1738" s="149">
        <v>0.60000000000000142</v>
      </c>
      <c r="D1738" s="141">
        <v>18841.399999999972</v>
      </c>
      <c r="E1738" s="141"/>
      <c r="F1738" s="141"/>
      <c r="G1738" s="141"/>
      <c r="H1738" s="141"/>
      <c r="J1738" s="141">
        <f t="shared" si="55"/>
        <v>2.71</v>
      </c>
      <c r="K1738" s="141">
        <f t="shared" si="56"/>
        <v>55053.839999999989</v>
      </c>
    </row>
    <row r="1739" spans="1:11">
      <c r="A1739" s="141">
        <v>1739</v>
      </c>
      <c r="B1739" s="142">
        <v>43832</v>
      </c>
      <c r="C1739" s="149">
        <v>-5.2000000000000028</v>
      </c>
      <c r="D1739" s="141">
        <v>18836.199999999972</v>
      </c>
      <c r="E1739" s="141"/>
      <c r="F1739" s="141"/>
      <c r="G1739" s="141"/>
      <c r="H1739" s="141"/>
      <c r="J1739" s="141">
        <f t="shared" si="55"/>
        <v>3.58</v>
      </c>
      <c r="K1739" s="141">
        <f t="shared" si="56"/>
        <v>55139.759999999987</v>
      </c>
    </row>
    <row r="1740" spans="1:11">
      <c r="A1740" s="141">
        <v>1740</v>
      </c>
      <c r="B1740" s="142">
        <v>43833</v>
      </c>
      <c r="C1740" s="149">
        <v>0.5</v>
      </c>
      <c r="D1740" s="141">
        <v>18836.699999999972</v>
      </c>
      <c r="E1740" s="141"/>
      <c r="F1740" s="141"/>
      <c r="G1740" s="141"/>
      <c r="H1740" s="141"/>
      <c r="J1740" s="141">
        <f t="shared" si="55"/>
        <v>2.7250000000000001</v>
      </c>
      <c r="K1740" s="141">
        <f t="shared" si="56"/>
        <v>55205.159999999989</v>
      </c>
    </row>
    <row r="1741" spans="1:11">
      <c r="A1741" s="141">
        <v>1741</v>
      </c>
      <c r="B1741" s="142">
        <v>43834</v>
      </c>
      <c r="C1741" s="149">
        <v>4.1999999999999993</v>
      </c>
      <c r="D1741" s="141">
        <v>18840.899999999972</v>
      </c>
      <c r="E1741" s="141"/>
      <c r="F1741" s="141"/>
      <c r="G1741" s="141"/>
      <c r="H1741" s="141"/>
      <c r="J1741" s="141">
        <f t="shared" si="55"/>
        <v>2.17</v>
      </c>
      <c r="K1741" s="141">
        <f t="shared" si="56"/>
        <v>55257.239999999991</v>
      </c>
    </row>
    <row r="1742" spans="1:11">
      <c r="A1742" s="141">
        <v>1742</v>
      </c>
      <c r="B1742" s="142">
        <v>43835</v>
      </c>
      <c r="C1742" s="149">
        <v>1.1000000000000014</v>
      </c>
      <c r="D1742" s="141">
        <v>18841.999999999971</v>
      </c>
      <c r="E1742" s="141"/>
      <c r="F1742" s="141"/>
      <c r="G1742" s="141"/>
      <c r="H1742" s="141"/>
      <c r="J1742" s="141">
        <f t="shared" si="55"/>
        <v>2.6349999999999998</v>
      </c>
      <c r="K1742" s="141">
        <f t="shared" si="56"/>
        <v>55320.479999999989</v>
      </c>
    </row>
    <row r="1743" spans="1:11">
      <c r="A1743" s="141">
        <v>1743</v>
      </c>
      <c r="B1743" s="142">
        <v>43836</v>
      </c>
      <c r="C1743" s="149">
        <v>0.60000000000000142</v>
      </c>
      <c r="D1743" s="141">
        <v>18842.599999999969</v>
      </c>
      <c r="E1743" s="141"/>
      <c r="F1743" s="141"/>
      <c r="G1743" s="141"/>
      <c r="H1743" s="141"/>
      <c r="J1743" s="141">
        <f t="shared" si="55"/>
        <v>2.71</v>
      </c>
      <c r="K1743" s="141">
        <f t="shared" si="56"/>
        <v>55385.51999999999</v>
      </c>
    </row>
    <row r="1744" spans="1:11">
      <c r="A1744" s="141">
        <v>1744</v>
      </c>
      <c r="B1744" s="142">
        <v>43837</v>
      </c>
      <c r="C1744" s="149">
        <v>0.10000000000000142</v>
      </c>
      <c r="D1744" s="141">
        <v>18842.699999999968</v>
      </c>
      <c r="E1744" s="141"/>
      <c r="F1744" s="141"/>
      <c r="G1744" s="141"/>
      <c r="H1744" s="141"/>
      <c r="J1744" s="141">
        <f t="shared" si="55"/>
        <v>2.7849999999999997</v>
      </c>
      <c r="K1744" s="141">
        <f t="shared" si="56"/>
        <v>55452.359999999986</v>
      </c>
    </row>
    <row r="1745" spans="1:11">
      <c r="A1745" s="141">
        <v>1745</v>
      </c>
      <c r="B1745" s="142">
        <v>43838</v>
      </c>
      <c r="C1745" s="149">
        <v>3.3000000000000007</v>
      </c>
      <c r="D1745" s="141">
        <v>18845.999999999967</v>
      </c>
      <c r="E1745" s="141"/>
      <c r="F1745" s="141"/>
      <c r="G1745" s="141"/>
      <c r="H1745" s="141"/>
      <c r="J1745" s="141">
        <f t="shared" si="55"/>
        <v>2.3050000000000002</v>
      </c>
      <c r="K1745" s="141">
        <f t="shared" si="56"/>
        <v>55507.679999999986</v>
      </c>
    </row>
    <row r="1746" spans="1:11">
      <c r="A1746" s="141">
        <v>1746</v>
      </c>
      <c r="B1746" s="142">
        <v>43839</v>
      </c>
      <c r="C1746" s="149">
        <v>6.1000000000000014</v>
      </c>
      <c r="D1746" s="141">
        <v>18852.099999999966</v>
      </c>
      <c r="E1746" s="141"/>
      <c r="F1746" s="141"/>
      <c r="G1746" s="141"/>
      <c r="H1746" s="141"/>
      <c r="J1746" s="141">
        <f t="shared" si="55"/>
        <v>1.885</v>
      </c>
      <c r="K1746" s="141">
        <f t="shared" si="56"/>
        <v>55552.919999999984</v>
      </c>
    </row>
    <row r="1747" spans="1:11">
      <c r="A1747" s="141">
        <v>1747</v>
      </c>
      <c r="B1747" s="142">
        <v>43840</v>
      </c>
      <c r="C1747" s="149">
        <v>7.6000000000000014</v>
      </c>
      <c r="D1747" s="141">
        <v>18859.699999999964</v>
      </c>
      <c r="E1747" s="141"/>
      <c r="F1747" s="141"/>
      <c r="G1747" s="141"/>
      <c r="H1747" s="141"/>
      <c r="J1747" s="141">
        <f t="shared" si="55"/>
        <v>1.66</v>
      </c>
      <c r="K1747" s="141">
        <f t="shared" si="56"/>
        <v>55592.75999999998</v>
      </c>
    </row>
    <row r="1748" spans="1:11">
      <c r="A1748" s="141">
        <v>1748</v>
      </c>
      <c r="B1748" s="142">
        <v>43841</v>
      </c>
      <c r="C1748" s="149">
        <v>3</v>
      </c>
      <c r="D1748" s="141">
        <v>18862.699999999964</v>
      </c>
      <c r="E1748" s="141"/>
      <c r="F1748" s="141"/>
      <c r="G1748" s="141"/>
      <c r="H1748" s="141"/>
      <c r="J1748" s="141">
        <f t="shared" si="55"/>
        <v>2.35</v>
      </c>
      <c r="K1748" s="141">
        <f t="shared" si="56"/>
        <v>55649.159999999982</v>
      </c>
    </row>
    <row r="1749" spans="1:11">
      <c r="A1749" s="141">
        <v>1749</v>
      </c>
      <c r="B1749" s="142">
        <v>43842</v>
      </c>
      <c r="C1749" s="149">
        <v>1.1999999999999993</v>
      </c>
      <c r="D1749" s="141">
        <v>18863.899999999965</v>
      </c>
      <c r="E1749" s="141"/>
      <c r="F1749" s="141"/>
      <c r="G1749" s="141"/>
      <c r="H1749" s="141"/>
      <c r="J1749" s="141">
        <f t="shared" si="55"/>
        <v>2.62</v>
      </c>
      <c r="K1749" s="141">
        <f t="shared" si="56"/>
        <v>55712.039999999979</v>
      </c>
    </row>
    <row r="1750" spans="1:11">
      <c r="A1750" s="141">
        <v>1750</v>
      </c>
      <c r="B1750" s="142">
        <v>43843</v>
      </c>
      <c r="C1750" s="149">
        <v>2.8999999999999986</v>
      </c>
      <c r="D1750" s="141">
        <v>18866.799999999967</v>
      </c>
      <c r="E1750" s="141"/>
      <c r="F1750" s="141"/>
      <c r="G1750" s="141"/>
      <c r="H1750" s="141"/>
      <c r="J1750" s="141">
        <f t="shared" si="55"/>
        <v>2.3650000000000002</v>
      </c>
      <c r="K1750" s="141">
        <f t="shared" si="56"/>
        <v>55768.799999999981</v>
      </c>
    </row>
    <row r="1751" spans="1:11">
      <c r="A1751" s="141">
        <v>1751</v>
      </c>
      <c r="B1751" s="142">
        <v>43844</v>
      </c>
      <c r="C1751" s="149">
        <v>1.3999999999999986</v>
      </c>
      <c r="D1751" s="141">
        <v>18868.199999999968</v>
      </c>
      <c r="E1751" s="141"/>
      <c r="F1751" s="141"/>
      <c r="G1751" s="141"/>
      <c r="H1751" s="141"/>
      <c r="J1751" s="141">
        <f t="shared" si="55"/>
        <v>2.5900000000000003</v>
      </c>
      <c r="K1751" s="141">
        <f t="shared" si="56"/>
        <v>55830.959999999985</v>
      </c>
    </row>
    <row r="1752" spans="1:11">
      <c r="A1752" s="141">
        <v>1752</v>
      </c>
      <c r="B1752" s="142">
        <v>43845</v>
      </c>
      <c r="C1752" s="149">
        <v>-0.39999999999999858</v>
      </c>
      <c r="D1752" s="141">
        <v>18867.799999999967</v>
      </c>
      <c r="E1752" s="141"/>
      <c r="F1752" s="141"/>
      <c r="G1752" s="141"/>
      <c r="H1752" s="141"/>
      <c r="J1752" s="141">
        <f t="shared" si="55"/>
        <v>2.86</v>
      </c>
      <c r="K1752" s="141">
        <f t="shared" si="56"/>
        <v>55899.599999999984</v>
      </c>
    </row>
    <row r="1753" spans="1:11">
      <c r="A1753" s="141">
        <v>1753</v>
      </c>
      <c r="B1753" s="142">
        <v>43846</v>
      </c>
      <c r="C1753" s="149">
        <v>0</v>
      </c>
      <c r="D1753" s="141">
        <v>18867.799999999967</v>
      </c>
      <c r="E1753" s="141"/>
      <c r="F1753" s="141"/>
      <c r="G1753" s="141"/>
      <c r="H1753" s="141"/>
      <c r="J1753" s="141">
        <f t="shared" si="55"/>
        <v>2.8</v>
      </c>
      <c r="K1753" s="141">
        <f t="shared" si="56"/>
        <v>55966.799999999981</v>
      </c>
    </row>
    <row r="1754" spans="1:11">
      <c r="A1754" s="141">
        <v>1754</v>
      </c>
      <c r="B1754" s="142">
        <v>43847</v>
      </c>
      <c r="C1754" s="149">
        <v>0</v>
      </c>
      <c r="D1754" s="141">
        <v>18867.799999999967</v>
      </c>
      <c r="E1754" s="141"/>
      <c r="F1754" s="141"/>
      <c r="G1754" s="141"/>
      <c r="H1754" s="141"/>
      <c r="J1754" s="141">
        <f t="shared" si="55"/>
        <v>2.8</v>
      </c>
      <c r="K1754" s="141">
        <f t="shared" si="56"/>
        <v>56033.999999999978</v>
      </c>
    </row>
    <row r="1755" spans="1:11">
      <c r="A1755" s="141">
        <v>1755</v>
      </c>
      <c r="B1755" s="142">
        <v>43848</v>
      </c>
      <c r="C1755" s="149">
        <v>1</v>
      </c>
      <c r="D1755" s="141">
        <v>18868.799999999967</v>
      </c>
      <c r="E1755" s="141"/>
      <c r="F1755" s="141"/>
      <c r="G1755" s="141"/>
      <c r="H1755" s="141"/>
      <c r="J1755" s="141">
        <f t="shared" si="55"/>
        <v>2.65</v>
      </c>
      <c r="K1755" s="141">
        <f t="shared" si="56"/>
        <v>56097.599999999977</v>
      </c>
    </row>
    <row r="1756" spans="1:11">
      <c r="A1756" s="141">
        <v>1756</v>
      </c>
      <c r="B1756" s="142">
        <v>43849</v>
      </c>
      <c r="C1756" s="149">
        <v>1.3999999999999986</v>
      </c>
      <c r="D1756" s="141">
        <v>18870.199999999968</v>
      </c>
      <c r="E1756" s="141"/>
      <c r="F1756" s="141"/>
      <c r="G1756" s="141"/>
      <c r="H1756" s="141"/>
      <c r="J1756" s="141">
        <f t="shared" si="55"/>
        <v>2.5900000000000003</v>
      </c>
      <c r="K1756" s="141">
        <f t="shared" si="56"/>
        <v>56159.75999999998</v>
      </c>
    </row>
    <row r="1757" spans="1:11">
      <c r="A1757" s="141">
        <v>1757</v>
      </c>
      <c r="B1757" s="142">
        <v>43850</v>
      </c>
      <c r="C1757" s="149">
        <v>1</v>
      </c>
      <c r="D1757" s="141">
        <v>18871.199999999968</v>
      </c>
      <c r="E1757" s="141"/>
      <c r="F1757" s="141"/>
      <c r="G1757" s="141"/>
      <c r="H1757" s="141"/>
      <c r="J1757" s="141">
        <f t="shared" si="55"/>
        <v>2.65</v>
      </c>
      <c r="K1757" s="141">
        <f t="shared" si="56"/>
        <v>56223.359999999979</v>
      </c>
    </row>
    <row r="1758" spans="1:11">
      <c r="A1758" s="141">
        <v>1758</v>
      </c>
      <c r="B1758" s="142">
        <v>43851</v>
      </c>
      <c r="C1758" s="149">
        <v>-2.7999999999999972</v>
      </c>
      <c r="D1758" s="141">
        <v>18868.399999999969</v>
      </c>
      <c r="E1758" s="141"/>
      <c r="F1758" s="141"/>
      <c r="G1758" s="141"/>
      <c r="H1758" s="141"/>
      <c r="J1758" s="141">
        <f t="shared" si="55"/>
        <v>3.2199999999999998</v>
      </c>
      <c r="K1758" s="141">
        <f t="shared" si="56"/>
        <v>56300.639999999978</v>
      </c>
    </row>
    <row r="1759" spans="1:11">
      <c r="A1759" s="141">
        <v>1759</v>
      </c>
      <c r="B1759" s="142">
        <v>43852</v>
      </c>
      <c r="C1759" s="149">
        <v>-0.89999999999999858</v>
      </c>
      <c r="D1759" s="141">
        <v>18867.499999999967</v>
      </c>
      <c r="E1759" s="141"/>
      <c r="F1759" s="141"/>
      <c r="G1759" s="141"/>
      <c r="H1759" s="141"/>
      <c r="J1759" s="141">
        <f t="shared" si="55"/>
        <v>2.9350000000000001</v>
      </c>
      <c r="K1759" s="141">
        <f t="shared" si="56"/>
        <v>56371.07999999998</v>
      </c>
    </row>
    <row r="1760" spans="1:11">
      <c r="A1760" s="141">
        <v>1760</v>
      </c>
      <c r="B1760" s="142">
        <v>43853</v>
      </c>
      <c r="C1760" s="149">
        <v>1.1999999999999993</v>
      </c>
      <c r="D1760" s="141">
        <v>18868.699999999968</v>
      </c>
      <c r="E1760" s="141"/>
      <c r="F1760" s="141"/>
      <c r="G1760" s="141"/>
      <c r="H1760" s="141"/>
      <c r="J1760" s="141">
        <f t="shared" si="55"/>
        <v>2.62</v>
      </c>
      <c r="K1760" s="141">
        <f t="shared" si="56"/>
        <v>56433.959999999977</v>
      </c>
    </row>
    <row r="1761" spans="1:11">
      <c r="A1761" s="141">
        <v>1761</v>
      </c>
      <c r="B1761" s="142">
        <v>43854</v>
      </c>
      <c r="C1761" s="149">
        <v>-2.2000000000000028</v>
      </c>
      <c r="D1761" s="141">
        <v>18866.499999999967</v>
      </c>
      <c r="E1761" s="141"/>
      <c r="F1761" s="141"/>
      <c r="G1761" s="141"/>
      <c r="H1761" s="141"/>
      <c r="J1761" s="141">
        <f t="shared" si="55"/>
        <v>3.1300000000000003</v>
      </c>
      <c r="K1761" s="141">
        <f t="shared" si="56"/>
        <v>56509.07999999998</v>
      </c>
    </row>
    <row r="1762" spans="1:11">
      <c r="A1762" s="141">
        <v>1762</v>
      </c>
      <c r="B1762" s="142">
        <v>43855</v>
      </c>
      <c r="C1762" s="149">
        <v>-0.89999999999999858</v>
      </c>
      <c r="D1762" s="141">
        <v>18865.599999999966</v>
      </c>
      <c r="E1762" s="141"/>
      <c r="F1762" s="141"/>
      <c r="G1762" s="141"/>
      <c r="H1762" s="141"/>
      <c r="J1762" s="141">
        <f t="shared" si="55"/>
        <v>2.9350000000000001</v>
      </c>
      <c r="K1762" s="141">
        <f t="shared" si="56"/>
        <v>56579.519999999982</v>
      </c>
    </row>
    <row r="1763" spans="1:11">
      <c r="A1763" s="141">
        <v>1763</v>
      </c>
      <c r="B1763" s="142">
        <v>43856</v>
      </c>
      <c r="C1763" s="149">
        <v>-0.69999999999999929</v>
      </c>
      <c r="D1763" s="141">
        <v>18864.899999999965</v>
      </c>
      <c r="E1763" s="141"/>
      <c r="F1763" s="141"/>
      <c r="G1763" s="141"/>
      <c r="H1763" s="141"/>
      <c r="J1763" s="141">
        <f t="shared" si="55"/>
        <v>2.9049999999999998</v>
      </c>
      <c r="K1763" s="141">
        <f t="shared" si="56"/>
        <v>56649.239999999983</v>
      </c>
    </row>
    <row r="1764" spans="1:11">
      <c r="A1764" s="141">
        <v>1764</v>
      </c>
      <c r="B1764" s="142">
        <v>43857</v>
      </c>
      <c r="C1764" s="149">
        <v>1.3999999999999986</v>
      </c>
      <c r="D1764" s="141">
        <v>18866.299999999967</v>
      </c>
      <c r="E1764" s="141"/>
      <c r="F1764" s="141"/>
      <c r="G1764" s="141"/>
      <c r="H1764" s="141"/>
      <c r="J1764" s="141">
        <f t="shared" si="55"/>
        <v>2.5900000000000003</v>
      </c>
      <c r="K1764" s="141">
        <f t="shared" si="56"/>
        <v>56711.399999999987</v>
      </c>
    </row>
    <row r="1765" spans="1:11">
      <c r="A1765" s="141">
        <v>1765</v>
      </c>
      <c r="B1765" s="142">
        <v>43858</v>
      </c>
      <c r="C1765" s="149">
        <v>4.1000000000000014</v>
      </c>
      <c r="D1765" s="141">
        <v>18870.399999999965</v>
      </c>
      <c r="E1765" s="141"/>
      <c r="F1765" s="141"/>
      <c r="G1765" s="141"/>
      <c r="H1765" s="141"/>
      <c r="J1765" s="141">
        <f t="shared" si="55"/>
        <v>2.1849999999999996</v>
      </c>
      <c r="K1765" s="141">
        <f t="shared" si="56"/>
        <v>56763.839999999989</v>
      </c>
    </row>
    <row r="1766" spans="1:11">
      <c r="A1766" s="141">
        <v>1766</v>
      </c>
      <c r="B1766" s="142">
        <v>43859</v>
      </c>
      <c r="C1766" s="149">
        <v>2.5</v>
      </c>
      <c r="D1766" s="141">
        <v>18872.899999999965</v>
      </c>
      <c r="E1766" s="141"/>
      <c r="F1766" s="141"/>
      <c r="G1766" s="141"/>
      <c r="H1766" s="141"/>
      <c r="J1766" s="141">
        <f t="shared" si="55"/>
        <v>2.4249999999999998</v>
      </c>
      <c r="K1766" s="141">
        <f t="shared" si="56"/>
        <v>56822.039999999986</v>
      </c>
    </row>
    <row r="1767" spans="1:11">
      <c r="A1767" s="141">
        <v>1767</v>
      </c>
      <c r="B1767" s="142">
        <v>43860</v>
      </c>
      <c r="C1767" s="149">
        <v>4</v>
      </c>
      <c r="D1767" s="141">
        <v>18876.899999999965</v>
      </c>
      <c r="E1767" s="141"/>
      <c r="F1767" s="141"/>
      <c r="G1767" s="141"/>
      <c r="H1767" s="141"/>
      <c r="J1767" s="141">
        <f t="shared" si="55"/>
        <v>2.2000000000000002</v>
      </c>
      <c r="K1767" s="141">
        <f t="shared" si="56"/>
        <v>56874.839999999989</v>
      </c>
    </row>
    <row r="1768" spans="1:11">
      <c r="A1768" s="141">
        <v>1768</v>
      </c>
      <c r="B1768" s="142">
        <v>43861</v>
      </c>
      <c r="C1768" s="149">
        <v>10.199999999999999</v>
      </c>
      <c r="D1768" s="141">
        <v>18887.099999999966</v>
      </c>
      <c r="E1768" s="141"/>
      <c r="F1768" s="141"/>
      <c r="G1768" s="141"/>
      <c r="H1768" s="141"/>
      <c r="J1768" s="141">
        <f t="shared" si="55"/>
        <v>1.27</v>
      </c>
      <c r="K1768" s="141">
        <f t="shared" si="56"/>
        <v>56905.319999999992</v>
      </c>
    </row>
    <row r="1769" spans="1:11">
      <c r="A1769" s="141">
        <v>1769</v>
      </c>
      <c r="B1769" s="142">
        <v>43862</v>
      </c>
      <c r="C1769" s="149">
        <v>11.600000000000001</v>
      </c>
      <c r="D1769" s="141">
        <v>18898.699999999964</v>
      </c>
      <c r="E1769" s="141"/>
      <c r="F1769" s="141"/>
      <c r="G1769" s="141"/>
      <c r="H1769" s="141"/>
      <c r="J1769" s="141">
        <f t="shared" si="55"/>
        <v>1.0599999999999998</v>
      </c>
      <c r="K1769" s="141">
        <f t="shared" si="56"/>
        <v>56930.759999999995</v>
      </c>
    </row>
    <row r="1770" spans="1:11">
      <c r="A1770" s="141">
        <v>1770</v>
      </c>
      <c r="B1770" s="142">
        <v>43863</v>
      </c>
      <c r="C1770" s="149">
        <v>8.3000000000000007</v>
      </c>
      <c r="D1770" s="141">
        <v>18906.999999999964</v>
      </c>
      <c r="E1770" s="141"/>
      <c r="F1770" s="141"/>
      <c r="G1770" s="141"/>
      <c r="H1770" s="141"/>
      <c r="J1770" s="141">
        <f t="shared" si="55"/>
        <v>1.5549999999999999</v>
      </c>
      <c r="K1770" s="141">
        <f t="shared" si="56"/>
        <v>56968.079999999994</v>
      </c>
    </row>
    <row r="1771" spans="1:11">
      <c r="A1771" s="141">
        <v>1771</v>
      </c>
      <c r="B1771" s="142">
        <v>43864</v>
      </c>
      <c r="C1771" s="149">
        <v>9.3000000000000007</v>
      </c>
      <c r="D1771" s="141">
        <v>18916.299999999963</v>
      </c>
      <c r="E1771" s="141"/>
      <c r="F1771" s="141"/>
      <c r="G1771" s="141"/>
      <c r="H1771" s="141"/>
      <c r="J1771" s="141">
        <f t="shared" si="55"/>
        <v>1.405</v>
      </c>
      <c r="K1771" s="141">
        <f t="shared" si="56"/>
        <v>57001.799999999996</v>
      </c>
    </row>
    <row r="1772" spans="1:11">
      <c r="A1772" s="141">
        <v>1772</v>
      </c>
      <c r="B1772" s="142">
        <v>43865</v>
      </c>
      <c r="C1772" s="149">
        <v>3.8999999999999986</v>
      </c>
      <c r="D1772" s="141">
        <v>18920.199999999964</v>
      </c>
      <c r="E1772" s="141"/>
      <c r="F1772" s="141"/>
      <c r="G1772" s="141"/>
      <c r="H1772" s="141"/>
      <c r="J1772" s="141">
        <f t="shared" si="55"/>
        <v>2.2149999999999999</v>
      </c>
      <c r="K1772" s="141">
        <f t="shared" si="56"/>
        <v>57054.96</v>
      </c>
    </row>
    <row r="1773" spans="1:11">
      <c r="A1773" s="141">
        <v>1773</v>
      </c>
      <c r="B1773" s="142">
        <v>43866</v>
      </c>
      <c r="C1773" s="149">
        <v>1.5</v>
      </c>
      <c r="D1773" s="141">
        <v>18921.699999999964</v>
      </c>
      <c r="E1773" s="141"/>
      <c r="F1773" s="141"/>
      <c r="G1773" s="141"/>
      <c r="H1773" s="141"/>
      <c r="J1773" s="141">
        <f t="shared" si="55"/>
        <v>2.5750000000000002</v>
      </c>
      <c r="K1773" s="141">
        <f t="shared" si="56"/>
        <v>57116.76</v>
      </c>
    </row>
    <row r="1774" spans="1:11">
      <c r="A1774" s="141">
        <v>1774</v>
      </c>
      <c r="B1774" s="142">
        <v>43867</v>
      </c>
      <c r="C1774" s="149">
        <v>1.3000000000000007</v>
      </c>
      <c r="D1774" s="141">
        <v>18922.999999999964</v>
      </c>
      <c r="E1774" s="141"/>
      <c r="F1774" s="141"/>
      <c r="G1774" s="141"/>
      <c r="H1774" s="141"/>
      <c r="J1774" s="141">
        <f t="shared" si="55"/>
        <v>2.6049999999999995</v>
      </c>
      <c r="K1774" s="141">
        <f t="shared" si="56"/>
        <v>57179.28</v>
      </c>
    </row>
    <row r="1775" spans="1:11">
      <c r="A1775" s="141">
        <v>1775</v>
      </c>
      <c r="B1775" s="142">
        <v>43868</v>
      </c>
      <c r="C1775" s="149">
        <v>3.6000000000000014</v>
      </c>
      <c r="D1775" s="141">
        <v>18926.599999999962</v>
      </c>
      <c r="E1775" s="141"/>
      <c r="F1775" s="141"/>
      <c r="G1775" s="141"/>
      <c r="H1775" s="141"/>
      <c r="J1775" s="141">
        <f t="shared" si="55"/>
        <v>2.2599999999999998</v>
      </c>
      <c r="K1775" s="141">
        <f t="shared" si="56"/>
        <v>57233.52</v>
      </c>
    </row>
    <row r="1776" spans="1:11">
      <c r="A1776" s="141">
        <v>1776</v>
      </c>
      <c r="B1776" s="142">
        <v>43869</v>
      </c>
      <c r="C1776" s="149">
        <v>1.6999999999999993</v>
      </c>
      <c r="D1776" s="141">
        <v>18928.299999999963</v>
      </c>
      <c r="E1776" s="141"/>
      <c r="F1776" s="141"/>
      <c r="G1776" s="141"/>
      <c r="H1776" s="141"/>
      <c r="J1776" s="141">
        <f t="shared" si="55"/>
        <v>2.5450000000000004</v>
      </c>
      <c r="K1776" s="141">
        <f t="shared" si="56"/>
        <v>57294.6</v>
      </c>
    </row>
    <row r="1777" spans="1:11">
      <c r="A1777" s="141">
        <v>1777</v>
      </c>
      <c r="B1777" s="142">
        <v>43870</v>
      </c>
      <c r="C1777" s="149">
        <v>4.3999999999999986</v>
      </c>
      <c r="D1777" s="141">
        <v>18932.699999999964</v>
      </c>
      <c r="E1777" s="141"/>
      <c r="F1777" s="141"/>
      <c r="G1777" s="141"/>
      <c r="H1777" s="141"/>
      <c r="J1777" s="141">
        <f t="shared" si="55"/>
        <v>2.14</v>
      </c>
      <c r="K1777" s="141">
        <f t="shared" si="56"/>
        <v>57345.96</v>
      </c>
    </row>
    <row r="1778" spans="1:11">
      <c r="A1778" s="141">
        <v>1778</v>
      </c>
      <c r="B1778" s="142">
        <v>43871</v>
      </c>
      <c r="C1778" s="149">
        <v>8.3999999999999986</v>
      </c>
      <c r="D1778" s="141">
        <v>18941.099999999966</v>
      </c>
      <c r="E1778" s="141"/>
      <c r="F1778" s="141"/>
      <c r="G1778" s="141"/>
      <c r="H1778" s="141"/>
      <c r="J1778" s="141">
        <f t="shared" si="55"/>
        <v>1.54</v>
      </c>
      <c r="K1778" s="141">
        <f t="shared" si="56"/>
        <v>57382.92</v>
      </c>
    </row>
    <row r="1779" spans="1:11">
      <c r="A1779" s="141">
        <v>1779</v>
      </c>
      <c r="B1779" s="142">
        <v>43872</v>
      </c>
      <c r="C1779" s="149">
        <v>4.1000000000000014</v>
      </c>
      <c r="D1779" s="141">
        <v>18945.199999999964</v>
      </c>
      <c r="E1779" s="141"/>
      <c r="F1779" s="141"/>
      <c r="G1779" s="141"/>
      <c r="H1779" s="141"/>
      <c r="J1779" s="141">
        <f t="shared" si="55"/>
        <v>2.1849999999999996</v>
      </c>
      <c r="K1779" s="141">
        <f t="shared" si="56"/>
        <v>57435.360000000001</v>
      </c>
    </row>
    <row r="1780" spans="1:11">
      <c r="A1780" s="141">
        <v>1780</v>
      </c>
      <c r="B1780" s="142">
        <v>43873</v>
      </c>
      <c r="C1780" s="149">
        <v>2.1999999999999993</v>
      </c>
      <c r="D1780" s="141">
        <v>18947.399999999965</v>
      </c>
      <c r="E1780" s="141"/>
      <c r="F1780" s="141"/>
      <c r="G1780" s="141"/>
      <c r="H1780" s="141"/>
      <c r="J1780" s="141">
        <f t="shared" si="55"/>
        <v>2.4700000000000002</v>
      </c>
      <c r="K1780" s="141">
        <f t="shared" si="56"/>
        <v>57494.64</v>
      </c>
    </row>
    <row r="1781" spans="1:11">
      <c r="A1781" s="141">
        <v>1781</v>
      </c>
      <c r="B1781" s="142">
        <v>43874</v>
      </c>
      <c r="C1781" s="149">
        <v>3</v>
      </c>
      <c r="D1781" s="141">
        <v>18950.399999999965</v>
      </c>
      <c r="E1781" s="141"/>
      <c r="F1781" s="141"/>
      <c r="G1781" s="141"/>
      <c r="H1781" s="141"/>
      <c r="J1781" s="141">
        <f t="shared" si="55"/>
        <v>2.35</v>
      </c>
      <c r="K1781" s="141">
        <f t="shared" si="56"/>
        <v>57551.040000000001</v>
      </c>
    </row>
    <row r="1782" spans="1:11">
      <c r="A1782" s="141">
        <v>1782</v>
      </c>
      <c r="B1782" s="142">
        <v>43875</v>
      </c>
      <c r="C1782" s="149">
        <v>5.3999999999999986</v>
      </c>
      <c r="D1782" s="141">
        <v>18955.799999999967</v>
      </c>
      <c r="E1782" s="141"/>
      <c r="F1782" s="141"/>
      <c r="G1782" s="141"/>
      <c r="H1782" s="141"/>
      <c r="J1782" s="141">
        <f t="shared" si="55"/>
        <v>1.99</v>
      </c>
      <c r="K1782" s="141">
        <f t="shared" si="56"/>
        <v>57598.8</v>
      </c>
    </row>
    <row r="1783" spans="1:11">
      <c r="A1783" s="141">
        <v>1783</v>
      </c>
      <c r="B1783" s="142">
        <v>43876</v>
      </c>
      <c r="C1783" s="149">
        <v>4.6000000000000014</v>
      </c>
      <c r="D1783" s="141">
        <v>18960.399999999965</v>
      </c>
      <c r="E1783" s="141"/>
      <c r="F1783" s="141"/>
      <c r="G1783" s="141"/>
      <c r="H1783" s="141"/>
      <c r="J1783" s="141">
        <f t="shared" si="55"/>
        <v>2.11</v>
      </c>
      <c r="K1783" s="141">
        <f t="shared" si="56"/>
        <v>57649.440000000002</v>
      </c>
    </row>
    <row r="1784" spans="1:11">
      <c r="A1784" s="141">
        <v>1784</v>
      </c>
      <c r="B1784" s="142">
        <v>43877</v>
      </c>
      <c r="C1784" s="149">
        <v>6.6000000000000014</v>
      </c>
      <c r="D1784" s="141">
        <v>18966.999999999964</v>
      </c>
      <c r="E1784" s="141"/>
      <c r="F1784" s="141"/>
      <c r="G1784" s="141"/>
      <c r="H1784" s="141"/>
      <c r="J1784" s="141">
        <f t="shared" si="55"/>
        <v>1.8099999999999998</v>
      </c>
      <c r="K1784" s="141">
        <f t="shared" si="56"/>
        <v>57692.880000000005</v>
      </c>
    </row>
    <row r="1785" spans="1:11">
      <c r="A1785" s="141">
        <v>1785</v>
      </c>
      <c r="B1785" s="142">
        <v>43878</v>
      </c>
      <c r="C1785" s="149">
        <v>9.5</v>
      </c>
      <c r="D1785" s="141">
        <v>18976.499999999964</v>
      </c>
      <c r="E1785" s="141"/>
      <c r="F1785" s="141"/>
      <c r="G1785" s="141"/>
      <c r="H1785" s="141"/>
      <c r="J1785" s="141">
        <f t="shared" si="55"/>
        <v>1.375</v>
      </c>
      <c r="K1785" s="141">
        <f t="shared" si="56"/>
        <v>57725.880000000005</v>
      </c>
    </row>
    <row r="1786" spans="1:11">
      <c r="A1786" s="141">
        <v>1786</v>
      </c>
      <c r="B1786" s="142">
        <v>43879</v>
      </c>
      <c r="C1786" s="149">
        <v>6.6999999999999993</v>
      </c>
      <c r="D1786" s="141">
        <v>18983.199999999964</v>
      </c>
      <c r="E1786" s="141"/>
      <c r="F1786" s="141"/>
      <c r="G1786" s="141"/>
      <c r="H1786" s="141"/>
      <c r="J1786" s="141">
        <f t="shared" si="55"/>
        <v>1.7950000000000002</v>
      </c>
      <c r="K1786" s="141">
        <f t="shared" si="56"/>
        <v>57768.960000000006</v>
      </c>
    </row>
    <row r="1787" spans="1:11">
      <c r="A1787" s="141">
        <v>1787</v>
      </c>
      <c r="B1787" s="142">
        <v>43880</v>
      </c>
      <c r="C1787" s="149">
        <v>4.3000000000000007</v>
      </c>
      <c r="D1787" s="141">
        <v>18987.499999999964</v>
      </c>
      <c r="E1787" s="141"/>
      <c r="F1787" s="141"/>
      <c r="G1787" s="141"/>
      <c r="H1787" s="141"/>
      <c r="J1787" s="141">
        <f t="shared" si="55"/>
        <v>2.1550000000000002</v>
      </c>
      <c r="K1787" s="141">
        <f t="shared" si="56"/>
        <v>57820.680000000008</v>
      </c>
    </row>
    <row r="1788" spans="1:11">
      <c r="A1788" s="141">
        <v>1788</v>
      </c>
      <c r="B1788" s="142">
        <v>43881</v>
      </c>
      <c r="C1788" s="149">
        <v>4.1000000000000014</v>
      </c>
      <c r="D1788" s="141">
        <v>18991.599999999962</v>
      </c>
      <c r="E1788" s="141"/>
      <c r="F1788" s="141"/>
      <c r="G1788" s="141"/>
      <c r="H1788" s="141"/>
      <c r="J1788" s="141">
        <f t="shared" si="55"/>
        <v>2.1849999999999996</v>
      </c>
      <c r="K1788" s="141">
        <f t="shared" si="56"/>
        <v>57873.12000000001</v>
      </c>
    </row>
    <row r="1789" spans="1:11">
      <c r="A1789" s="141">
        <v>1789</v>
      </c>
      <c r="B1789" s="142">
        <v>43882</v>
      </c>
      <c r="C1789" s="149">
        <v>4.6999999999999993</v>
      </c>
      <c r="D1789" s="141">
        <v>18996.299999999963</v>
      </c>
      <c r="E1789" s="141"/>
      <c r="F1789" s="141"/>
      <c r="G1789" s="141"/>
      <c r="H1789" s="141"/>
      <c r="J1789" s="141">
        <f t="shared" si="55"/>
        <v>2.0949999999999998</v>
      </c>
      <c r="K1789" s="141">
        <f t="shared" si="56"/>
        <v>57923.400000000009</v>
      </c>
    </row>
    <row r="1790" spans="1:11">
      <c r="A1790" s="141">
        <v>1790</v>
      </c>
      <c r="B1790" s="142">
        <v>43883</v>
      </c>
      <c r="C1790" s="149">
        <v>7.8999999999999986</v>
      </c>
      <c r="D1790" s="141">
        <v>19004.199999999964</v>
      </c>
      <c r="E1790" s="141"/>
      <c r="F1790" s="141"/>
      <c r="G1790" s="141"/>
      <c r="H1790" s="141"/>
      <c r="J1790" s="141">
        <f t="shared" si="55"/>
        <v>1.615</v>
      </c>
      <c r="K1790" s="141">
        <f t="shared" si="56"/>
        <v>57962.160000000011</v>
      </c>
    </row>
    <row r="1791" spans="1:11">
      <c r="A1791" s="141">
        <v>1791</v>
      </c>
      <c r="B1791" s="142">
        <v>43884</v>
      </c>
      <c r="C1791" s="149">
        <v>10.199999999999999</v>
      </c>
      <c r="D1791" s="141">
        <v>19014.399999999965</v>
      </c>
      <c r="E1791" s="141"/>
      <c r="F1791" s="141"/>
      <c r="G1791" s="141"/>
      <c r="H1791" s="141"/>
      <c r="J1791" s="141">
        <f t="shared" si="55"/>
        <v>1.27</v>
      </c>
      <c r="K1791" s="141">
        <f t="shared" si="56"/>
        <v>57992.640000000014</v>
      </c>
    </row>
    <row r="1792" spans="1:11">
      <c r="A1792" s="141">
        <v>1792</v>
      </c>
      <c r="B1792" s="142">
        <v>43885</v>
      </c>
      <c r="C1792" s="149">
        <v>4.8999999999999986</v>
      </c>
      <c r="D1792" s="141">
        <v>19019.299999999967</v>
      </c>
      <c r="E1792" s="141"/>
      <c r="F1792" s="141"/>
      <c r="G1792" s="141"/>
      <c r="H1792" s="141"/>
      <c r="J1792" s="141">
        <f t="shared" si="55"/>
        <v>2.0650000000000004</v>
      </c>
      <c r="K1792" s="141">
        <f t="shared" si="56"/>
        <v>58042.200000000012</v>
      </c>
    </row>
    <row r="1793" spans="1:11">
      <c r="A1793" s="141">
        <v>1793</v>
      </c>
      <c r="B1793" s="142">
        <v>43886</v>
      </c>
      <c r="C1793" s="149">
        <v>8.5</v>
      </c>
      <c r="D1793" s="141">
        <v>19027.799999999967</v>
      </c>
      <c r="E1793" s="141"/>
      <c r="F1793" s="141"/>
      <c r="G1793" s="141"/>
      <c r="H1793" s="141"/>
      <c r="J1793" s="141">
        <f t="shared" si="55"/>
        <v>1.5249999999999999</v>
      </c>
      <c r="K1793" s="141">
        <f t="shared" si="56"/>
        <v>58078.80000000001</v>
      </c>
    </row>
    <row r="1794" spans="1:11">
      <c r="A1794" s="141">
        <v>1794</v>
      </c>
      <c r="B1794" s="142">
        <v>43887</v>
      </c>
      <c r="C1794" s="149">
        <v>4.3000000000000007</v>
      </c>
      <c r="D1794" s="141">
        <v>19032.099999999966</v>
      </c>
      <c r="E1794" s="141"/>
      <c r="F1794" s="141"/>
      <c r="G1794" s="141"/>
      <c r="H1794" s="141"/>
      <c r="J1794" s="141">
        <f t="shared" si="55"/>
        <v>2.1550000000000002</v>
      </c>
      <c r="K1794" s="141">
        <f t="shared" si="56"/>
        <v>58130.520000000011</v>
      </c>
    </row>
    <row r="1795" spans="1:11">
      <c r="A1795" s="141">
        <v>1795</v>
      </c>
      <c r="B1795" s="142">
        <v>43888</v>
      </c>
      <c r="C1795" s="149">
        <v>3.3999999999999986</v>
      </c>
      <c r="D1795" s="141">
        <v>19035.499999999967</v>
      </c>
      <c r="E1795" s="141"/>
      <c r="F1795" s="141"/>
      <c r="G1795" s="141"/>
      <c r="H1795" s="141"/>
      <c r="J1795" s="141">
        <f t="shared" si="55"/>
        <v>2.29</v>
      </c>
      <c r="K1795" s="141">
        <f t="shared" si="56"/>
        <v>58185.48000000001</v>
      </c>
    </row>
    <row r="1796" spans="1:11">
      <c r="A1796" s="141">
        <v>1796</v>
      </c>
      <c r="B1796" s="142">
        <v>43889</v>
      </c>
      <c r="C1796" s="149">
        <v>2.1999999999999993</v>
      </c>
      <c r="D1796" s="141">
        <v>19037.699999999968</v>
      </c>
      <c r="E1796" s="141"/>
      <c r="F1796" s="141"/>
      <c r="G1796" s="141"/>
      <c r="H1796" s="141"/>
      <c r="J1796" s="141">
        <f t="shared" si="55"/>
        <v>2.4700000000000002</v>
      </c>
      <c r="K1796" s="141">
        <f t="shared" si="56"/>
        <v>58244.760000000009</v>
      </c>
    </row>
    <row r="1797" spans="1:11">
      <c r="A1797" s="141">
        <v>1797</v>
      </c>
      <c r="B1797" s="142">
        <v>43890</v>
      </c>
      <c r="C1797" s="149">
        <v>4</v>
      </c>
      <c r="D1797" s="141">
        <v>19041.699999999968</v>
      </c>
      <c r="E1797" s="141"/>
      <c r="F1797" s="141"/>
      <c r="G1797" s="141"/>
      <c r="H1797" s="141"/>
      <c r="J1797" s="141">
        <f t="shared" si="55"/>
        <v>2.2000000000000002</v>
      </c>
      <c r="K1797" s="141">
        <f t="shared" si="56"/>
        <v>58297.560000000012</v>
      </c>
    </row>
    <row r="1798" spans="1:11">
      <c r="A1798" s="141">
        <v>1798</v>
      </c>
      <c r="B1798" s="142">
        <v>43891</v>
      </c>
      <c r="C1798" s="149">
        <v>7.6999999999999993</v>
      </c>
      <c r="D1798" s="141">
        <v>19049.399999999969</v>
      </c>
      <c r="E1798" s="141"/>
      <c r="F1798" s="141"/>
      <c r="G1798" s="141"/>
      <c r="H1798" s="141"/>
      <c r="J1798" s="141">
        <f t="shared" si="55"/>
        <v>1.645</v>
      </c>
      <c r="K1798" s="141">
        <f t="shared" si="56"/>
        <v>58337.040000000015</v>
      </c>
    </row>
    <row r="1799" spans="1:11">
      <c r="A1799" s="141">
        <v>1799</v>
      </c>
      <c r="B1799" s="142">
        <v>43892</v>
      </c>
      <c r="C1799" s="149">
        <v>6.6999999999999993</v>
      </c>
      <c r="D1799" s="141">
        <v>19056.099999999969</v>
      </c>
      <c r="E1799" s="141"/>
      <c r="F1799" s="141"/>
      <c r="G1799" s="141"/>
      <c r="H1799" s="141"/>
      <c r="J1799" s="141">
        <f t="shared" ref="J1799:J1862" si="57">J$1+(IF(J$3-$C1799&gt;0,J$3-$C1799,0)*J$2/30)</f>
        <v>1.7950000000000002</v>
      </c>
      <c r="K1799" s="141">
        <f t="shared" ref="K1799:K1862" si="58">K1798+J1799*24</f>
        <v>58380.120000000017</v>
      </c>
    </row>
    <row r="1800" spans="1:11">
      <c r="A1800" s="141">
        <v>1800</v>
      </c>
      <c r="B1800" s="142">
        <v>43893</v>
      </c>
      <c r="C1800" s="149">
        <v>4.6999999999999993</v>
      </c>
      <c r="D1800" s="141">
        <v>19060.79999999997</v>
      </c>
      <c r="E1800" s="141"/>
      <c r="F1800" s="141"/>
      <c r="G1800" s="141"/>
      <c r="H1800" s="141"/>
      <c r="J1800" s="141">
        <f t="shared" si="57"/>
        <v>2.0949999999999998</v>
      </c>
      <c r="K1800" s="141">
        <f t="shared" si="58"/>
        <v>58430.400000000016</v>
      </c>
    </row>
    <row r="1801" spans="1:11">
      <c r="A1801" s="141">
        <v>1801</v>
      </c>
      <c r="B1801" s="142">
        <v>43894</v>
      </c>
      <c r="C1801" s="149">
        <v>3.3999999999999986</v>
      </c>
      <c r="D1801" s="141">
        <v>19064.199999999972</v>
      </c>
      <c r="E1801" s="141"/>
      <c r="F1801" s="141"/>
      <c r="G1801" s="141"/>
      <c r="H1801" s="141"/>
      <c r="J1801" s="141">
        <f t="shared" si="57"/>
        <v>2.29</v>
      </c>
      <c r="K1801" s="141">
        <f t="shared" si="58"/>
        <v>58485.360000000015</v>
      </c>
    </row>
    <row r="1802" spans="1:11">
      <c r="A1802" s="141">
        <v>1802</v>
      </c>
      <c r="B1802" s="142">
        <v>43895</v>
      </c>
      <c r="C1802" s="149">
        <v>4.8000000000000007</v>
      </c>
      <c r="D1802" s="141">
        <v>19068.999999999971</v>
      </c>
      <c r="E1802" s="141"/>
      <c r="F1802" s="141"/>
      <c r="G1802" s="141"/>
      <c r="H1802" s="141"/>
      <c r="J1802" s="141">
        <f t="shared" si="57"/>
        <v>2.08</v>
      </c>
      <c r="K1802" s="141">
        <f t="shared" si="58"/>
        <v>58535.280000000013</v>
      </c>
    </row>
    <row r="1803" spans="1:11">
      <c r="A1803" s="141">
        <v>1803</v>
      </c>
      <c r="B1803" s="142">
        <v>43896</v>
      </c>
      <c r="C1803" s="149">
        <v>6.6999999999999993</v>
      </c>
      <c r="D1803" s="141">
        <v>19075.699999999972</v>
      </c>
      <c r="E1803" s="141"/>
      <c r="F1803" s="141"/>
      <c r="G1803" s="141"/>
      <c r="H1803" s="141"/>
      <c r="J1803" s="141">
        <f t="shared" si="57"/>
        <v>1.7950000000000002</v>
      </c>
      <c r="K1803" s="141">
        <f t="shared" si="58"/>
        <v>58578.360000000015</v>
      </c>
    </row>
    <row r="1804" spans="1:11">
      <c r="A1804" s="141">
        <v>1804</v>
      </c>
      <c r="B1804" s="142">
        <v>43897</v>
      </c>
      <c r="C1804" s="149">
        <v>4.1999999999999993</v>
      </c>
      <c r="D1804" s="141">
        <v>19079.899999999972</v>
      </c>
      <c r="E1804" s="141"/>
      <c r="F1804" s="141"/>
      <c r="G1804" s="141"/>
      <c r="H1804" s="141"/>
      <c r="J1804" s="141">
        <f t="shared" si="57"/>
        <v>2.17</v>
      </c>
      <c r="K1804" s="141">
        <f t="shared" si="58"/>
        <v>58630.440000000017</v>
      </c>
    </row>
    <row r="1805" spans="1:11">
      <c r="A1805" s="141">
        <v>1805</v>
      </c>
      <c r="B1805" s="142">
        <v>43898</v>
      </c>
      <c r="C1805" s="149">
        <v>5.1999999999999993</v>
      </c>
      <c r="D1805" s="141">
        <v>19085.099999999973</v>
      </c>
      <c r="E1805" s="141"/>
      <c r="F1805" s="141"/>
      <c r="G1805" s="141"/>
      <c r="H1805" s="141"/>
      <c r="J1805" s="141">
        <f t="shared" si="57"/>
        <v>2.02</v>
      </c>
      <c r="K1805" s="141">
        <f t="shared" si="58"/>
        <v>58678.92000000002</v>
      </c>
    </row>
    <row r="1806" spans="1:11">
      <c r="A1806" s="141">
        <v>1806</v>
      </c>
      <c r="B1806" s="142">
        <v>43899</v>
      </c>
      <c r="C1806" s="149">
        <v>5.8000000000000007</v>
      </c>
      <c r="D1806" s="141">
        <v>19090.899999999972</v>
      </c>
      <c r="E1806" s="141"/>
      <c r="F1806" s="141"/>
      <c r="G1806" s="141"/>
      <c r="H1806" s="141"/>
      <c r="J1806" s="141">
        <f t="shared" si="57"/>
        <v>1.93</v>
      </c>
      <c r="K1806" s="141">
        <f t="shared" si="58"/>
        <v>58725.24000000002</v>
      </c>
    </row>
    <row r="1807" spans="1:11">
      <c r="A1807" s="141">
        <v>1807</v>
      </c>
      <c r="B1807" s="142">
        <v>43900</v>
      </c>
      <c r="C1807" s="149">
        <v>5.1000000000000014</v>
      </c>
      <c r="D1807" s="141">
        <v>19095.999999999971</v>
      </c>
      <c r="E1807" s="141"/>
      <c r="F1807" s="141"/>
      <c r="G1807" s="141"/>
      <c r="H1807" s="141"/>
      <c r="J1807" s="141">
        <f t="shared" si="57"/>
        <v>2.0350000000000001</v>
      </c>
      <c r="K1807" s="141">
        <f t="shared" si="58"/>
        <v>58774.080000000016</v>
      </c>
    </row>
    <row r="1808" spans="1:11">
      <c r="A1808" s="141">
        <v>1808</v>
      </c>
      <c r="B1808" s="142">
        <v>43901</v>
      </c>
      <c r="C1808" s="149">
        <v>9</v>
      </c>
      <c r="D1808" s="141">
        <v>19104.999999999971</v>
      </c>
      <c r="E1808" s="141"/>
      <c r="F1808" s="141"/>
      <c r="G1808" s="141"/>
      <c r="H1808" s="141"/>
      <c r="J1808" s="141">
        <f t="shared" si="57"/>
        <v>1.45</v>
      </c>
      <c r="K1808" s="141">
        <f t="shared" si="58"/>
        <v>58808.880000000019</v>
      </c>
    </row>
    <row r="1809" spans="1:11">
      <c r="A1809" s="141">
        <v>1809</v>
      </c>
      <c r="B1809" s="142">
        <v>43902</v>
      </c>
      <c r="C1809" s="149">
        <v>11.600000000000001</v>
      </c>
      <c r="D1809" s="141">
        <v>19116.599999999969</v>
      </c>
      <c r="E1809" s="141"/>
      <c r="F1809" s="141"/>
      <c r="G1809" s="141"/>
      <c r="H1809" s="141"/>
      <c r="J1809" s="141">
        <f t="shared" si="57"/>
        <v>1.0599999999999998</v>
      </c>
      <c r="K1809" s="141">
        <f t="shared" si="58"/>
        <v>58834.320000000022</v>
      </c>
    </row>
    <row r="1810" spans="1:11">
      <c r="A1810" s="141">
        <v>1810</v>
      </c>
      <c r="B1810" s="142">
        <v>43903</v>
      </c>
      <c r="C1810" s="149">
        <v>7.3000000000000007</v>
      </c>
      <c r="D1810" s="141">
        <v>19123.899999999969</v>
      </c>
      <c r="E1810" s="141"/>
      <c r="F1810" s="141"/>
      <c r="G1810" s="141"/>
      <c r="H1810" s="141"/>
      <c r="J1810" s="141">
        <f t="shared" si="57"/>
        <v>1.7049999999999998</v>
      </c>
      <c r="K1810" s="141">
        <f t="shared" si="58"/>
        <v>58875.24000000002</v>
      </c>
    </row>
    <row r="1811" spans="1:11">
      <c r="A1811" s="141">
        <v>1811</v>
      </c>
      <c r="B1811" s="142">
        <v>43904</v>
      </c>
      <c r="C1811" s="149">
        <v>4</v>
      </c>
      <c r="D1811" s="141">
        <v>19127.899999999969</v>
      </c>
      <c r="E1811" s="141"/>
      <c r="F1811" s="141"/>
      <c r="G1811" s="141"/>
      <c r="H1811" s="141"/>
      <c r="J1811" s="141">
        <f t="shared" si="57"/>
        <v>2.2000000000000002</v>
      </c>
      <c r="K1811" s="141">
        <f t="shared" si="58"/>
        <v>58928.040000000023</v>
      </c>
    </row>
    <row r="1812" spans="1:11">
      <c r="A1812" s="141">
        <v>1812</v>
      </c>
      <c r="B1812" s="142">
        <v>43905</v>
      </c>
      <c r="C1812" s="149">
        <v>3.3999999999999986</v>
      </c>
      <c r="D1812" s="141">
        <v>19131.29999999997</v>
      </c>
      <c r="E1812" s="141"/>
      <c r="F1812" s="141"/>
      <c r="G1812" s="141"/>
      <c r="H1812" s="141"/>
      <c r="J1812" s="141">
        <f t="shared" si="57"/>
        <v>2.29</v>
      </c>
      <c r="K1812" s="141">
        <f t="shared" si="58"/>
        <v>58983.000000000022</v>
      </c>
    </row>
    <row r="1813" spans="1:11">
      <c r="A1813" s="141">
        <v>1813</v>
      </c>
      <c r="B1813" s="142">
        <v>43906</v>
      </c>
      <c r="C1813" s="149">
        <v>5.6000000000000014</v>
      </c>
      <c r="D1813" s="141">
        <v>19136.899999999969</v>
      </c>
      <c r="E1813" s="141"/>
      <c r="F1813" s="141"/>
      <c r="G1813" s="141"/>
      <c r="H1813" s="141"/>
      <c r="J1813" s="141">
        <f t="shared" si="57"/>
        <v>1.96</v>
      </c>
      <c r="K1813" s="141">
        <f t="shared" si="58"/>
        <v>59030.040000000023</v>
      </c>
    </row>
    <row r="1814" spans="1:11">
      <c r="A1814" s="141">
        <v>1814</v>
      </c>
      <c r="B1814" s="142">
        <v>43907</v>
      </c>
      <c r="C1814" s="149">
        <v>7.6999999999999993</v>
      </c>
      <c r="D1814" s="141">
        <v>19144.599999999969</v>
      </c>
      <c r="E1814" s="141"/>
      <c r="F1814" s="141"/>
      <c r="G1814" s="141"/>
      <c r="H1814" s="141"/>
      <c r="J1814" s="141">
        <f t="shared" si="57"/>
        <v>1.645</v>
      </c>
      <c r="K1814" s="141">
        <f t="shared" si="58"/>
        <v>59069.520000000026</v>
      </c>
    </row>
    <row r="1815" spans="1:11">
      <c r="A1815" s="141">
        <v>1815</v>
      </c>
      <c r="B1815" s="142">
        <v>43908</v>
      </c>
      <c r="C1815" s="149">
        <v>9.5</v>
      </c>
      <c r="D1815" s="141">
        <v>19154.099999999969</v>
      </c>
      <c r="E1815" s="141"/>
      <c r="F1815" s="141"/>
      <c r="G1815" s="141"/>
      <c r="H1815" s="141"/>
      <c r="J1815" s="141">
        <f t="shared" si="57"/>
        <v>1.375</v>
      </c>
      <c r="K1815" s="141">
        <f t="shared" si="58"/>
        <v>59102.520000000026</v>
      </c>
    </row>
    <row r="1816" spans="1:11">
      <c r="A1816" s="141">
        <v>1816</v>
      </c>
      <c r="B1816" s="142">
        <v>43909</v>
      </c>
      <c r="C1816" s="149">
        <v>9.6000000000000014</v>
      </c>
      <c r="D1816" s="141">
        <v>19163.699999999968</v>
      </c>
      <c r="E1816" s="141"/>
      <c r="F1816" s="141"/>
      <c r="G1816" s="141"/>
      <c r="H1816" s="141"/>
      <c r="J1816" s="141">
        <f t="shared" si="57"/>
        <v>1.3599999999999999</v>
      </c>
      <c r="K1816" s="141">
        <f t="shared" si="58"/>
        <v>59135.160000000025</v>
      </c>
    </row>
    <row r="1817" spans="1:11">
      <c r="A1817" s="141">
        <v>1817</v>
      </c>
      <c r="B1817" s="142">
        <v>43910</v>
      </c>
      <c r="C1817" s="149">
        <v>9.3000000000000007</v>
      </c>
      <c r="D1817" s="141">
        <v>19172.999999999967</v>
      </c>
      <c r="E1817" s="141"/>
      <c r="F1817" s="141"/>
      <c r="G1817" s="141"/>
      <c r="H1817" s="141"/>
      <c r="J1817" s="141">
        <f t="shared" si="57"/>
        <v>1.405</v>
      </c>
      <c r="K1817" s="141">
        <f t="shared" si="58"/>
        <v>59168.880000000026</v>
      </c>
    </row>
    <row r="1818" spans="1:11">
      <c r="A1818" s="141">
        <v>1818</v>
      </c>
      <c r="B1818" s="142">
        <v>43911</v>
      </c>
      <c r="C1818" s="149">
        <v>2.6000000000000014</v>
      </c>
      <c r="D1818" s="141">
        <v>19175.599999999966</v>
      </c>
      <c r="E1818" s="141"/>
      <c r="F1818" s="141"/>
      <c r="G1818" s="141"/>
      <c r="H1818" s="141"/>
      <c r="J1818" s="141">
        <f t="shared" si="57"/>
        <v>2.4099999999999997</v>
      </c>
      <c r="K1818" s="141">
        <f t="shared" si="58"/>
        <v>59226.720000000023</v>
      </c>
    </row>
    <row r="1819" spans="1:11">
      <c r="A1819" s="141">
        <v>1819</v>
      </c>
      <c r="B1819" s="142">
        <v>43912</v>
      </c>
      <c r="C1819" s="149">
        <v>-1</v>
      </c>
      <c r="D1819" s="141">
        <v>19174.599999999966</v>
      </c>
      <c r="E1819" s="141"/>
      <c r="F1819" s="141"/>
      <c r="G1819" s="141"/>
      <c r="H1819" s="141"/>
      <c r="J1819" s="141">
        <f t="shared" si="57"/>
        <v>2.95</v>
      </c>
      <c r="K1819" s="141">
        <f t="shared" si="58"/>
        <v>59297.520000000026</v>
      </c>
    </row>
    <row r="1820" spans="1:11">
      <c r="A1820" s="141">
        <v>1820</v>
      </c>
      <c r="B1820" s="142">
        <v>43913</v>
      </c>
      <c r="C1820" s="149">
        <v>-0.80000000000000071</v>
      </c>
      <c r="D1820" s="141">
        <v>19173.799999999967</v>
      </c>
      <c r="E1820" s="141"/>
      <c r="F1820" s="141"/>
      <c r="G1820" s="141"/>
      <c r="H1820" s="141"/>
      <c r="J1820" s="141">
        <f t="shared" si="57"/>
        <v>2.9200000000000004</v>
      </c>
      <c r="K1820" s="141">
        <f t="shared" si="58"/>
        <v>59367.600000000028</v>
      </c>
    </row>
    <row r="1821" spans="1:11">
      <c r="A1821" s="141">
        <v>1821</v>
      </c>
      <c r="B1821" s="142">
        <v>43914</v>
      </c>
      <c r="C1821" s="149">
        <v>0.30000000000000071</v>
      </c>
      <c r="D1821" s="141">
        <v>19174.099999999966</v>
      </c>
      <c r="E1821" s="141"/>
      <c r="F1821" s="141"/>
      <c r="G1821" s="141"/>
      <c r="H1821" s="141"/>
      <c r="J1821" s="141">
        <f t="shared" si="57"/>
        <v>2.7549999999999999</v>
      </c>
      <c r="K1821" s="141">
        <f t="shared" si="58"/>
        <v>59433.72000000003</v>
      </c>
    </row>
    <row r="1822" spans="1:11">
      <c r="A1822" s="141">
        <v>1822</v>
      </c>
      <c r="B1822" s="142">
        <v>43915</v>
      </c>
      <c r="C1822" s="149">
        <v>0.89999999999999858</v>
      </c>
      <c r="D1822" s="141">
        <v>19174.999999999967</v>
      </c>
      <c r="E1822" s="141"/>
      <c r="F1822" s="141"/>
      <c r="G1822" s="141"/>
      <c r="H1822" s="141"/>
      <c r="J1822" s="141">
        <f t="shared" si="57"/>
        <v>2.665</v>
      </c>
      <c r="K1822" s="141">
        <f t="shared" si="58"/>
        <v>59497.680000000029</v>
      </c>
    </row>
    <row r="1823" spans="1:11">
      <c r="A1823" s="141">
        <v>1823</v>
      </c>
      <c r="B1823" s="142">
        <v>43916</v>
      </c>
      <c r="C1823" s="149">
        <v>3</v>
      </c>
      <c r="D1823" s="141">
        <v>19177.999999999967</v>
      </c>
      <c r="E1823" s="141"/>
      <c r="F1823" s="141"/>
      <c r="G1823" s="141"/>
      <c r="H1823" s="141"/>
      <c r="J1823" s="141">
        <f t="shared" si="57"/>
        <v>2.35</v>
      </c>
      <c r="K1823" s="141">
        <f t="shared" si="58"/>
        <v>59554.080000000031</v>
      </c>
    </row>
    <row r="1824" spans="1:11">
      <c r="A1824" s="141">
        <v>1824</v>
      </c>
      <c r="B1824" s="142">
        <v>43917</v>
      </c>
      <c r="C1824" s="149">
        <v>9.3999999999999986</v>
      </c>
      <c r="D1824" s="141">
        <v>19187.399999999969</v>
      </c>
      <c r="E1824" s="141"/>
      <c r="F1824" s="141"/>
      <c r="G1824" s="141"/>
      <c r="H1824" s="141"/>
      <c r="J1824" s="141">
        <f t="shared" si="57"/>
        <v>1.3900000000000001</v>
      </c>
      <c r="K1824" s="141">
        <f t="shared" si="58"/>
        <v>59587.440000000031</v>
      </c>
    </row>
    <row r="1825" spans="1:11">
      <c r="A1825" s="141">
        <v>1825</v>
      </c>
      <c r="B1825" s="142">
        <v>43918</v>
      </c>
      <c r="C1825" s="149">
        <v>8.8000000000000007</v>
      </c>
      <c r="D1825" s="141">
        <v>19196.199999999968</v>
      </c>
      <c r="E1825" s="141"/>
      <c r="F1825" s="141"/>
      <c r="G1825" s="141"/>
      <c r="H1825" s="141"/>
      <c r="J1825" s="141">
        <f t="shared" si="57"/>
        <v>1.48</v>
      </c>
      <c r="K1825" s="141">
        <f t="shared" si="58"/>
        <v>59622.960000000028</v>
      </c>
    </row>
    <row r="1826" spans="1:11">
      <c r="A1826" s="141">
        <v>1826</v>
      </c>
      <c r="B1826" s="142">
        <v>43919</v>
      </c>
      <c r="C1826" s="149">
        <v>5.6000000000000014</v>
      </c>
      <c r="D1826" s="141">
        <v>19201.799999999967</v>
      </c>
      <c r="E1826" s="141"/>
      <c r="F1826" s="141"/>
      <c r="G1826" s="141"/>
      <c r="H1826" s="141"/>
      <c r="J1826" s="141">
        <f t="shared" si="57"/>
        <v>1.96</v>
      </c>
      <c r="K1826" s="141">
        <f t="shared" si="58"/>
        <v>59670.000000000029</v>
      </c>
    </row>
    <row r="1827" spans="1:11">
      <c r="A1827" s="141">
        <v>1827</v>
      </c>
      <c r="B1827" s="142">
        <v>43920</v>
      </c>
      <c r="C1827" s="149">
        <v>0.69999999999999929</v>
      </c>
      <c r="D1827" s="141">
        <v>19202.499999999967</v>
      </c>
      <c r="E1827" s="141"/>
      <c r="F1827" s="141"/>
      <c r="G1827" s="141"/>
      <c r="H1827" s="141"/>
      <c r="J1827" s="141">
        <f t="shared" si="57"/>
        <v>2.6950000000000003</v>
      </c>
      <c r="K1827" s="141">
        <f t="shared" si="58"/>
        <v>59734.680000000029</v>
      </c>
    </row>
    <row r="1828" spans="1:11">
      <c r="A1828" s="141">
        <v>1828</v>
      </c>
      <c r="B1828" s="142">
        <v>43921</v>
      </c>
      <c r="C1828" s="149">
        <v>0.69999999999999929</v>
      </c>
      <c r="D1828" s="141">
        <v>19203.199999999968</v>
      </c>
      <c r="E1828" s="141"/>
      <c r="F1828" s="141"/>
      <c r="G1828" s="141"/>
      <c r="H1828" s="141"/>
      <c r="J1828" s="141">
        <f t="shared" si="57"/>
        <v>2.6950000000000003</v>
      </c>
      <c r="K1828" s="141">
        <f t="shared" si="58"/>
        <v>59799.36000000003</v>
      </c>
    </row>
    <row r="1829" spans="1:11">
      <c r="A1829" s="141">
        <v>1829</v>
      </c>
      <c r="B1829" s="142">
        <v>43922</v>
      </c>
      <c r="C1829" s="149">
        <v>0.80000000000000071</v>
      </c>
      <c r="D1829" s="141">
        <v>19203.999999999967</v>
      </c>
      <c r="E1829" s="141"/>
      <c r="F1829" s="141"/>
      <c r="G1829" s="141"/>
      <c r="H1829" s="141"/>
      <c r="J1829" s="141">
        <f t="shared" si="57"/>
        <v>2.6799999999999997</v>
      </c>
      <c r="K1829" s="141">
        <f t="shared" si="58"/>
        <v>59863.680000000029</v>
      </c>
    </row>
    <row r="1830" spans="1:11">
      <c r="A1830" s="141">
        <v>1830</v>
      </c>
      <c r="B1830" s="142">
        <v>43923</v>
      </c>
      <c r="C1830" s="149">
        <v>4.5</v>
      </c>
      <c r="D1830" s="141">
        <v>19208.499999999967</v>
      </c>
      <c r="E1830" s="141"/>
      <c r="F1830" s="141"/>
      <c r="G1830" s="141"/>
      <c r="H1830" s="141"/>
      <c r="J1830" s="141">
        <f t="shared" si="57"/>
        <v>2.125</v>
      </c>
      <c r="K1830" s="141">
        <f t="shared" si="58"/>
        <v>59914.680000000029</v>
      </c>
    </row>
    <row r="1831" spans="1:11">
      <c r="A1831" s="141">
        <v>1831</v>
      </c>
      <c r="B1831" s="142">
        <v>43924</v>
      </c>
      <c r="C1831" s="149">
        <v>4.8999999999999986</v>
      </c>
      <c r="D1831" s="141">
        <v>19213.399999999969</v>
      </c>
      <c r="E1831" s="141"/>
      <c r="F1831" s="141"/>
      <c r="G1831" s="141"/>
      <c r="H1831" s="141"/>
      <c r="J1831" s="141">
        <f t="shared" si="57"/>
        <v>2.0650000000000004</v>
      </c>
      <c r="K1831" s="141">
        <f t="shared" si="58"/>
        <v>59964.240000000027</v>
      </c>
    </row>
    <row r="1832" spans="1:11">
      <c r="A1832" s="141">
        <v>1832</v>
      </c>
      <c r="B1832" s="142">
        <v>43925</v>
      </c>
      <c r="C1832" s="149">
        <v>8</v>
      </c>
      <c r="D1832" s="141">
        <v>19221.399999999969</v>
      </c>
      <c r="E1832" s="141"/>
      <c r="F1832" s="141"/>
      <c r="G1832" s="141"/>
      <c r="H1832" s="141"/>
      <c r="J1832" s="141">
        <f t="shared" si="57"/>
        <v>1.6</v>
      </c>
      <c r="K1832" s="141">
        <f t="shared" si="58"/>
        <v>60002.640000000029</v>
      </c>
    </row>
    <row r="1833" spans="1:11">
      <c r="A1833" s="141">
        <v>1833</v>
      </c>
      <c r="B1833" s="142">
        <v>43926</v>
      </c>
      <c r="C1833" s="149">
        <v>8.8000000000000007</v>
      </c>
      <c r="D1833" s="141">
        <v>19230.199999999968</v>
      </c>
      <c r="E1833" s="141"/>
      <c r="F1833" s="141"/>
      <c r="G1833" s="141"/>
      <c r="H1833" s="141"/>
      <c r="J1833" s="141">
        <f t="shared" si="57"/>
        <v>1.48</v>
      </c>
      <c r="K1833" s="141">
        <f t="shared" si="58"/>
        <v>60038.160000000025</v>
      </c>
    </row>
    <row r="1834" spans="1:11">
      <c r="A1834" s="141">
        <v>1834</v>
      </c>
      <c r="B1834" s="142">
        <v>43927</v>
      </c>
      <c r="C1834" s="149">
        <v>12.100000000000001</v>
      </c>
      <c r="D1834" s="141">
        <v>19242.299999999967</v>
      </c>
      <c r="E1834" s="141"/>
      <c r="F1834" s="141"/>
      <c r="G1834" s="141"/>
      <c r="H1834" s="141"/>
      <c r="J1834" s="141">
        <f t="shared" si="57"/>
        <v>0.98499999999999976</v>
      </c>
      <c r="K1834" s="141">
        <f t="shared" si="58"/>
        <v>60061.800000000025</v>
      </c>
    </row>
    <row r="1835" spans="1:11">
      <c r="A1835" s="141">
        <v>1835</v>
      </c>
      <c r="B1835" s="142">
        <v>43928</v>
      </c>
      <c r="C1835" s="149">
        <v>12.8</v>
      </c>
      <c r="D1835" s="141">
        <v>19255.099999999966</v>
      </c>
      <c r="E1835" s="141"/>
      <c r="F1835" s="141"/>
      <c r="G1835" s="141"/>
      <c r="H1835" s="141"/>
      <c r="J1835" s="141">
        <f t="shared" si="57"/>
        <v>0.88</v>
      </c>
      <c r="K1835" s="141">
        <f t="shared" si="58"/>
        <v>60082.920000000027</v>
      </c>
    </row>
    <row r="1836" spans="1:11">
      <c r="A1836" s="141">
        <v>1836</v>
      </c>
      <c r="B1836" s="142">
        <v>43929</v>
      </c>
      <c r="C1836" s="149">
        <v>12.899999999999999</v>
      </c>
      <c r="D1836" s="141">
        <v>19267.999999999967</v>
      </c>
      <c r="E1836" s="141"/>
      <c r="F1836" s="141"/>
      <c r="G1836" s="141"/>
      <c r="H1836" s="141"/>
      <c r="J1836" s="141">
        <f t="shared" si="57"/>
        <v>0.86500000000000021</v>
      </c>
      <c r="K1836" s="141">
        <f t="shared" si="58"/>
        <v>60103.680000000029</v>
      </c>
    </row>
    <row r="1837" spans="1:11">
      <c r="A1837" s="141">
        <v>1837</v>
      </c>
      <c r="B1837" s="142">
        <v>43930</v>
      </c>
      <c r="C1837" s="149">
        <v>13.100000000000001</v>
      </c>
      <c r="D1837" s="141">
        <v>19281.099999999966</v>
      </c>
      <c r="E1837" s="141"/>
      <c r="F1837" s="141"/>
      <c r="G1837" s="141"/>
      <c r="H1837" s="141"/>
      <c r="J1837" s="141">
        <f t="shared" si="57"/>
        <v>0.83499999999999974</v>
      </c>
      <c r="K1837" s="141">
        <f t="shared" si="58"/>
        <v>60123.72000000003</v>
      </c>
    </row>
    <row r="1838" spans="1:11">
      <c r="A1838" s="141">
        <v>1838</v>
      </c>
      <c r="B1838" s="142">
        <v>43931</v>
      </c>
      <c r="C1838" s="149">
        <v>11.5</v>
      </c>
      <c r="D1838" s="141">
        <v>19292.599999999966</v>
      </c>
      <c r="E1838" s="141"/>
      <c r="F1838" s="141"/>
      <c r="G1838" s="141"/>
      <c r="H1838" s="141"/>
      <c r="J1838" s="141">
        <f t="shared" si="57"/>
        <v>1.075</v>
      </c>
      <c r="K1838" s="141">
        <f t="shared" si="58"/>
        <v>60149.520000000033</v>
      </c>
    </row>
    <row r="1839" spans="1:11">
      <c r="A1839" s="141">
        <v>1839</v>
      </c>
      <c r="B1839" s="142">
        <v>43932</v>
      </c>
      <c r="C1839" s="149">
        <v>10.199999999999999</v>
      </c>
      <c r="D1839" s="141">
        <v>19302.799999999967</v>
      </c>
      <c r="E1839" s="141"/>
      <c r="F1839" s="141"/>
      <c r="G1839" s="141"/>
      <c r="H1839" s="141"/>
      <c r="J1839" s="141">
        <f t="shared" si="57"/>
        <v>1.27</v>
      </c>
      <c r="K1839" s="141">
        <f t="shared" si="58"/>
        <v>60180.000000000036</v>
      </c>
    </row>
    <row r="1840" spans="1:11">
      <c r="A1840" s="141">
        <v>1840</v>
      </c>
      <c r="B1840" s="142">
        <v>43933</v>
      </c>
      <c r="C1840" s="149">
        <v>12.899999999999999</v>
      </c>
      <c r="D1840" s="141">
        <v>19315.699999999968</v>
      </c>
      <c r="E1840" s="141"/>
      <c r="F1840" s="141"/>
      <c r="G1840" s="141"/>
      <c r="H1840" s="141"/>
      <c r="J1840" s="141">
        <f t="shared" si="57"/>
        <v>0.86500000000000021</v>
      </c>
      <c r="K1840" s="141">
        <f t="shared" si="58"/>
        <v>60200.760000000038</v>
      </c>
    </row>
    <row r="1841" spans="1:11">
      <c r="A1841" s="141">
        <v>1841</v>
      </c>
      <c r="B1841" s="142">
        <v>43934</v>
      </c>
      <c r="C1841" s="149">
        <v>9.6999999999999993</v>
      </c>
      <c r="D1841" s="141">
        <v>19325.399999999969</v>
      </c>
      <c r="E1841" s="141"/>
      <c r="F1841" s="141"/>
      <c r="G1841" s="141"/>
      <c r="H1841" s="141"/>
      <c r="J1841" s="141">
        <f t="shared" si="57"/>
        <v>1.345</v>
      </c>
      <c r="K1841" s="141">
        <f t="shared" si="58"/>
        <v>60233.040000000037</v>
      </c>
    </row>
    <row r="1842" spans="1:11">
      <c r="A1842" s="141">
        <v>1842</v>
      </c>
      <c r="B1842" s="142">
        <v>43935</v>
      </c>
      <c r="C1842" s="149">
        <v>4.1999999999999993</v>
      </c>
      <c r="D1842" s="141">
        <v>19329.599999999969</v>
      </c>
      <c r="E1842" s="141"/>
      <c r="F1842" s="141"/>
      <c r="G1842" s="141"/>
      <c r="H1842" s="141"/>
      <c r="J1842" s="141">
        <f t="shared" si="57"/>
        <v>2.17</v>
      </c>
      <c r="K1842" s="141">
        <f t="shared" si="58"/>
        <v>60285.120000000039</v>
      </c>
    </row>
    <row r="1843" spans="1:11">
      <c r="A1843" s="141">
        <v>1843</v>
      </c>
      <c r="B1843" s="142">
        <v>43936</v>
      </c>
      <c r="C1843" s="149">
        <v>7.1000000000000014</v>
      </c>
      <c r="D1843" s="141">
        <v>19336.699999999968</v>
      </c>
      <c r="E1843" s="141"/>
      <c r="F1843" s="141"/>
      <c r="G1843" s="141"/>
      <c r="H1843" s="141"/>
      <c r="J1843" s="141">
        <f t="shared" si="57"/>
        <v>1.7349999999999999</v>
      </c>
      <c r="K1843" s="141">
        <f t="shared" si="58"/>
        <v>60326.760000000038</v>
      </c>
    </row>
    <row r="1844" spans="1:11">
      <c r="A1844" s="141">
        <v>1844</v>
      </c>
      <c r="B1844" s="142">
        <v>43937</v>
      </c>
      <c r="C1844" s="149">
        <v>12.2</v>
      </c>
      <c r="D1844" s="141">
        <v>19348.899999999969</v>
      </c>
      <c r="E1844" s="141"/>
      <c r="F1844" s="141"/>
      <c r="G1844" s="141"/>
      <c r="H1844" s="141"/>
      <c r="J1844" s="141">
        <f t="shared" si="57"/>
        <v>0.97000000000000008</v>
      </c>
      <c r="K1844" s="141">
        <f t="shared" si="58"/>
        <v>60350.040000000037</v>
      </c>
    </row>
    <row r="1845" spans="1:11">
      <c r="A1845" s="141">
        <v>1845</v>
      </c>
      <c r="B1845" s="142">
        <v>43938</v>
      </c>
      <c r="C1845" s="149">
        <v>13.399999999999999</v>
      </c>
      <c r="D1845" s="141">
        <v>19362.29999999997</v>
      </c>
      <c r="E1845" s="141"/>
      <c r="F1845" s="141"/>
      <c r="G1845" s="141"/>
      <c r="H1845" s="141"/>
      <c r="J1845" s="141">
        <f t="shared" si="57"/>
        <v>0.79000000000000026</v>
      </c>
      <c r="K1845" s="141">
        <f t="shared" si="58"/>
        <v>60369.000000000036</v>
      </c>
    </row>
    <row r="1846" spans="1:11">
      <c r="A1846" s="141">
        <v>1846</v>
      </c>
      <c r="B1846" s="142">
        <v>43939</v>
      </c>
      <c r="C1846" s="149">
        <v>13.2</v>
      </c>
      <c r="D1846" s="141">
        <v>19375.499999999971</v>
      </c>
      <c r="E1846" s="141"/>
      <c r="F1846" s="141"/>
      <c r="G1846" s="141"/>
      <c r="H1846" s="141"/>
      <c r="J1846" s="141">
        <f t="shared" si="57"/>
        <v>0.82000000000000006</v>
      </c>
      <c r="K1846" s="141">
        <f t="shared" si="58"/>
        <v>60388.680000000037</v>
      </c>
    </row>
    <row r="1847" spans="1:11">
      <c r="A1847" s="141">
        <v>1847</v>
      </c>
      <c r="B1847" s="142">
        <v>43940</v>
      </c>
      <c r="C1847" s="149">
        <v>11.100000000000001</v>
      </c>
      <c r="D1847" s="141">
        <v>19386.599999999969</v>
      </c>
      <c r="E1847" s="141"/>
      <c r="F1847" s="141"/>
      <c r="G1847" s="141"/>
      <c r="H1847" s="141"/>
      <c r="J1847" s="141">
        <f t="shared" si="57"/>
        <v>1.1349999999999998</v>
      </c>
      <c r="K1847" s="141">
        <f t="shared" si="58"/>
        <v>60415.920000000035</v>
      </c>
    </row>
    <row r="1848" spans="1:11">
      <c r="A1848" s="141">
        <v>1848</v>
      </c>
      <c r="B1848" s="142">
        <v>43941</v>
      </c>
      <c r="C1848" s="149">
        <v>8.6000000000000014</v>
      </c>
      <c r="D1848" s="141">
        <v>19395.199999999968</v>
      </c>
      <c r="E1848" s="141"/>
      <c r="F1848" s="141"/>
      <c r="G1848" s="141"/>
      <c r="H1848" s="141"/>
      <c r="J1848" s="141">
        <f t="shared" si="57"/>
        <v>1.51</v>
      </c>
      <c r="K1848" s="141">
        <f t="shared" si="58"/>
        <v>60452.160000000033</v>
      </c>
    </row>
    <row r="1849" spans="1:11">
      <c r="A1849" s="141">
        <v>1849</v>
      </c>
      <c r="B1849" s="142">
        <v>43942</v>
      </c>
      <c r="C1849" s="149">
        <v>10.199999999999999</v>
      </c>
      <c r="D1849" s="141">
        <v>19405.399999999969</v>
      </c>
      <c r="E1849" s="141"/>
      <c r="F1849" s="141"/>
      <c r="G1849" s="141"/>
      <c r="H1849" s="141"/>
      <c r="J1849" s="141">
        <f t="shared" si="57"/>
        <v>1.27</v>
      </c>
      <c r="K1849" s="141">
        <f t="shared" si="58"/>
        <v>60482.640000000036</v>
      </c>
    </row>
    <row r="1850" spans="1:11">
      <c r="A1850" s="141">
        <v>1850</v>
      </c>
      <c r="B1850" s="142">
        <v>43943</v>
      </c>
      <c r="C1850" s="149">
        <v>10.7</v>
      </c>
      <c r="D1850" s="141">
        <v>19416.099999999969</v>
      </c>
      <c r="E1850" s="141"/>
      <c r="F1850" s="141"/>
      <c r="G1850" s="141"/>
      <c r="H1850" s="141"/>
      <c r="J1850" s="141">
        <f t="shared" si="57"/>
        <v>1.1950000000000001</v>
      </c>
      <c r="K1850" s="141">
        <f t="shared" si="58"/>
        <v>60511.320000000036</v>
      </c>
    </row>
    <row r="1851" spans="1:11">
      <c r="A1851" s="141">
        <v>1851</v>
      </c>
      <c r="B1851" s="142">
        <v>43944</v>
      </c>
      <c r="C1851" s="149">
        <v>12.100000000000001</v>
      </c>
      <c r="D1851" s="141">
        <v>19428.199999999968</v>
      </c>
      <c r="E1851" s="141"/>
      <c r="F1851" s="141"/>
      <c r="G1851" s="141"/>
      <c r="H1851" s="141"/>
      <c r="J1851" s="141">
        <f t="shared" si="57"/>
        <v>0.98499999999999976</v>
      </c>
      <c r="K1851" s="141">
        <f t="shared" si="58"/>
        <v>60534.960000000036</v>
      </c>
    </row>
    <row r="1852" spans="1:11">
      <c r="A1852" s="141">
        <v>1852</v>
      </c>
      <c r="B1852" s="142">
        <v>43945</v>
      </c>
      <c r="C1852" s="149">
        <v>14.3</v>
      </c>
      <c r="D1852" s="141">
        <v>19442.499999999967</v>
      </c>
      <c r="E1852" s="141"/>
      <c r="F1852" s="141"/>
      <c r="G1852" s="141"/>
      <c r="H1852" s="141"/>
      <c r="J1852" s="141">
        <f t="shared" si="57"/>
        <v>0.65499999999999992</v>
      </c>
      <c r="K1852" s="141">
        <f t="shared" si="58"/>
        <v>60550.680000000037</v>
      </c>
    </row>
    <row r="1853" spans="1:11">
      <c r="A1853" s="141">
        <v>1853</v>
      </c>
      <c r="B1853" s="142">
        <v>43946</v>
      </c>
      <c r="C1853" s="149">
        <v>10</v>
      </c>
      <c r="D1853" s="141">
        <v>19452.499999999967</v>
      </c>
      <c r="E1853" s="141"/>
      <c r="F1853" s="141"/>
      <c r="G1853" s="141"/>
      <c r="H1853" s="141"/>
      <c r="J1853" s="141">
        <f t="shared" si="57"/>
        <v>1.3</v>
      </c>
      <c r="K1853" s="141">
        <f t="shared" si="58"/>
        <v>60581.880000000034</v>
      </c>
    </row>
    <row r="1854" spans="1:11">
      <c r="A1854" s="141">
        <v>1854</v>
      </c>
      <c r="B1854" s="142">
        <v>43947</v>
      </c>
      <c r="C1854" s="149">
        <v>9.3999999999999986</v>
      </c>
      <c r="D1854" s="141">
        <v>19461.899999999969</v>
      </c>
      <c r="E1854" s="141"/>
      <c r="F1854" s="141"/>
      <c r="G1854" s="141"/>
      <c r="H1854" s="141"/>
      <c r="J1854" s="141">
        <f t="shared" si="57"/>
        <v>1.3900000000000001</v>
      </c>
      <c r="K1854" s="141">
        <f t="shared" si="58"/>
        <v>60615.240000000034</v>
      </c>
    </row>
    <row r="1855" spans="1:11">
      <c r="A1855" s="141">
        <v>1855</v>
      </c>
      <c r="B1855" s="142">
        <v>43948</v>
      </c>
      <c r="C1855" s="149">
        <v>13.5</v>
      </c>
      <c r="D1855" s="141">
        <v>19475.399999999969</v>
      </c>
      <c r="E1855" s="141"/>
      <c r="F1855" s="141"/>
      <c r="G1855" s="141"/>
      <c r="H1855" s="141"/>
      <c r="J1855" s="141">
        <f t="shared" si="57"/>
        <v>0.77500000000000002</v>
      </c>
      <c r="K1855" s="141">
        <f t="shared" si="58"/>
        <v>60633.840000000033</v>
      </c>
    </row>
    <row r="1856" spans="1:11">
      <c r="A1856" s="141">
        <v>1856</v>
      </c>
      <c r="B1856" s="142">
        <v>43949</v>
      </c>
      <c r="C1856" s="149">
        <v>16.399999999999999</v>
      </c>
      <c r="D1856" s="141">
        <v>19491.79999999997</v>
      </c>
      <c r="E1856" s="141"/>
      <c r="F1856" s="141"/>
      <c r="G1856" s="141"/>
      <c r="H1856" s="141"/>
      <c r="J1856" s="141">
        <f t="shared" si="57"/>
        <v>0.34000000000000019</v>
      </c>
      <c r="K1856" s="141">
        <f t="shared" si="58"/>
        <v>60642.000000000036</v>
      </c>
    </row>
    <row r="1857" spans="1:11">
      <c r="A1857" s="141">
        <v>1857</v>
      </c>
      <c r="B1857" s="142">
        <v>43950</v>
      </c>
      <c r="C1857" s="149">
        <v>14.4</v>
      </c>
      <c r="D1857" s="141">
        <v>19506.199999999972</v>
      </c>
      <c r="E1857" s="141"/>
      <c r="F1857" s="141"/>
      <c r="G1857" s="141"/>
      <c r="H1857" s="141"/>
      <c r="J1857" s="141">
        <f t="shared" si="57"/>
        <v>0.6399999999999999</v>
      </c>
      <c r="K1857" s="141">
        <f t="shared" si="58"/>
        <v>60657.360000000037</v>
      </c>
    </row>
    <row r="1858" spans="1:11">
      <c r="A1858" s="141">
        <v>1858</v>
      </c>
      <c r="B1858" s="142">
        <v>43951</v>
      </c>
      <c r="C1858" s="149">
        <v>13.899999999999999</v>
      </c>
      <c r="D1858" s="141">
        <v>19520.099999999973</v>
      </c>
      <c r="E1858" s="141"/>
      <c r="F1858" s="141"/>
      <c r="G1858" s="141"/>
      <c r="H1858" s="141"/>
      <c r="J1858" s="141">
        <f t="shared" si="57"/>
        <v>0.71500000000000019</v>
      </c>
      <c r="K1858" s="141">
        <f t="shared" si="58"/>
        <v>60674.52000000004</v>
      </c>
    </row>
    <row r="1859" spans="1:11">
      <c r="A1859" s="141">
        <v>1859</v>
      </c>
      <c r="B1859" s="142">
        <v>43952</v>
      </c>
      <c r="C1859" s="149">
        <v>12.7</v>
      </c>
      <c r="D1859" s="141">
        <v>19532.799999999974</v>
      </c>
      <c r="E1859" s="141"/>
      <c r="F1859" s="141"/>
      <c r="G1859" s="141"/>
      <c r="H1859" s="141"/>
      <c r="J1859" s="141">
        <f t="shared" si="57"/>
        <v>0.89500000000000002</v>
      </c>
      <c r="K1859" s="141">
        <f t="shared" si="58"/>
        <v>60696.000000000044</v>
      </c>
    </row>
    <row r="1860" spans="1:11">
      <c r="A1860" s="141">
        <v>1860</v>
      </c>
      <c r="B1860" s="142">
        <v>43953</v>
      </c>
      <c r="C1860" s="149">
        <v>10.199999999999999</v>
      </c>
      <c r="D1860" s="141">
        <v>19542.999999999975</v>
      </c>
      <c r="E1860" s="141"/>
      <c r="F1860" s="141"/>
      <c r="G1860" s="141"/>
      <c r="H1860" s="141"/>
      <c r="J1860" s="141">
        <f t="shared" si="57"/>
        <v>1.27</v>
      </c>
      <c r="K1860" s="141">
        <f t="shared" si="58"/>
        <v>60726.480000000047</v>
      </c>
    </row>
    <row r="1861" spans="1:11">
      <c r="A1861" s="141">
        <v>1861</v>
      </c>
      <c r="B1861" s="142">
        <v>43954</v>
      </c>
      <c r="C1861" s="149">
        <v>10.199999999999999</v>
      </c>
      <c r="D1861" s="141">
        <v>19553.199999999975</v>
      </c>
      <c r="E1861" s="141"/>
      <c r="F1861" s="141"/>
      <c r="G1861" s="141"/>
      <c r="H1861" s="141"/>
      <c r="J1861" s="141">
        <f t="shared" si="57"/>
        <v>1.27</v>
      </c>
      <c r="K1861" s="141">
        <f t="shared" si="58"/>
        <v>60756.96000000005</v>
      </c>
    </row>
    <row r="1862" spans="1:11">
      <c r="A1862" s="141">
        <v>1862</v>
      </c>
      <c r="B1862" s="142">
        <v>43955</v>
      </c>
      <c r="C1862" s="149">
        <v>11.8</v>
      </c>
      <c r="D1862" s="141">
        <v>19564.999999999975</v>
      </c>
      <c r="E1862" s="141"/>
      <c r="F1862" s="141"/>
      <c r="G1862" s="141"/>
      <c r="H1862" s="141"/>
      <c r="J1862" s="141">
        <f t="shared" si="57"/>
        <v>1.0299999999999998</v>
      </c>
      <c r="K1862" s="141">
        <f t="shared" si="58"/>
        <v>60781.680000000051</v>
      </c>
    </row>
    <row r="1863" spans="1:11">
      <c r="A1863" s="141">
        <v>1863</v>
      </c>
      <c r="B1863" s="142">
        <v>43956</v>
      </c>
      <c r="C1863" s="149">
        <v>8</v>
      </c>
      <c r="D1863" s="141">
        <v>19572.999999999975</v>
      </c>
      <c r="E1863" s="141"/>
      <c r="F1863" s="141"/>
      <c r="G1863" s="141"/>
      <c r="H1863" s="141"/>
      <c r="J1863" s="141">
        <f t="shared" ref="J1863:J1926" si="59">J$1+(IF(J$3-$C1863&gt;0,J$3-$C1863,0)*J$2/30)</f>
        <v>1.6</v>
      </c>
      <c r="K1863" s="141">
        <f t="shared" ref="K1863:K1926" si="60">K1862+J1863*24</f>
        <v>60820.080000000053</v>
      </c>
    </row>
    <row r="1864" spans="1:11">
      <c r="A1864" s="141">
        <v>1864</v>
      </c>
      <c r="B1864" s="142">
        <v>43957</v>
      </c>
      <c r="C1864" s="149">
        <v>8.6000000000000014</v>
      </c>
      <c r="D1864" s="141">
        <v>19581.599999999973</v>
      </c>
      <c r="E1864" s="141"/>
      <c r="F1864" s="141"/>
      <c r="G1864" s="141"/>
      <c r="H1864" s="141"/>
      <c r="J1864" s="141">
        <f t="shared" si="59"/>
        <v>1.51</v>
      </c>
      <c r="K1864" s="141">
        <f t="shared" si="60"/>
        <v>60856.320000000051</v>
      </c>
    </row>
    <row r="1865" spans="1:11">
      <c r="A1865" s="141">
        <v>1865</v>
      </c>
      <c r="B1865" s="142">
        <v>43958</v>
      </c>
      <c r="C1865" s="149">
        <v>11.5</v>
      </c>
      <c r="D1865" s="141">
        <v>19593.099999999973</v>
      </c>
      <c r="E1865" s="141"/>
      <c r="F1865" s="141"/>
      <c r="G1865" s="141"/>
      <c r="H1865" s="141"/>
      <c r="J1865" s="141">
        <f t="shared" si="59"/>
        <v>1.075</v>
      </c>
      <c r="K1865" s="141">
        <f t="shared" si="60"/>
        <v>60882.120000000054</v>
      </c>
    </row>
    <row r="1866" spans="1:11">
      <c r="A1866" s="141">
        <v>1866</v>
      </c>
      <c r="B1866" s="142">
        <v>43959</v>
      </c>
      <c r="C1866" s="149">
        <v>14.3</v>
      </c>
      <c r="D1866" s="141">
        <v>19607.399999999972</v>
      </c>
      <c r="E1866" s="141"/>
      <c r="F1866" s="141"/>
      <c r="G1866" s="141"/>
      <c r="H1866" s="141"/>
      <c r="J1866" s="141">
        <f t="shared" si="59"/>
        <v>0.65499999999999992</v>
      </c>
      <c r="K1866" s="141">
        <f t="shared" si="60"/>
        <v>60897.840000000055</v>
      </c>
    </row>
    <row r="1867" spans="1:11">
      <c r="A1867" s="141">
        <v>1867</v>
      </c>
      <c r="B1867" s="142">
        <v>43960</v>
      </c>
      <c r="C1867" s="149">
        <v>16.899999999999999</v>
      </c>
      <c r="D1867" s="141">
        <v>19624.299999999974</v>
      </c>
      <c r="E1867" s="141"/>
      <c r="F1867" s="141"/>
      <c r="G1867" s="141"/>
      <c r="H1867" s="141"/>
      <c r="J1867" s="141">
        <f t="shared" si="59"/>
        <v>0.26500000000000024</v>
      </c>
      <c r="K1867" s="141">
        <f t="shared" si="60"/>
        <v>60904.200000000055</v>
      </c>
    </row>
    <row r="1868" spans="1:11">
      <c r="A1868" s="141">
        <v>1868</v>
      </c>
      <c r="B1868" s="142">
        <v>43961</v>
      </c>
      <c r="C1868" s="149">
        <v>16.5</v>
      </c>
      <c r="D1868" s="141">
        <v>19640.799999999974</v>
      </c>
      <c r="E1868" s="141"/>
      <c r="F1868" s="141"/>
      <c r="G1868" s="141"/>
      <c r="H1868" s="141"/>
      <c r="J1868" s="141">
        <f t="shared" si="59"/>
        <v>0.32500000000000001</v>
      </c>
      <c r="K1868" s="141">
        <f t="shared" si="60"/>
        <v>60912.000000000058</v>
      </c>
    </row>
    <row r="1869" spans="1:11">
      <c r="A1869" s="141">
        <v>1869</v>
      </c>
      <c r="B1869" s="142">
        <v>43962</v>
      </c>
      <c r="C1869" s="149">
        <v>10.100000000000001</v>
      </c>
      <c r="D1869" s="141">
        <v>19650.899999999972</v>
      </c>
      <c r="E1869" s="141"/>
      <c r="F1869" s="141"/>
      <c r="G1869" s="141"/>
      <c r="H1869" s="141"/>
      <c r="J1869" s="141">
        <f t="shared" si="59"/>
        <v>1.2849999999999997</v>
      </c>
      <c r="K1869" s="141">
        <f t="shared" si="60"/>
        <v>60942.840000000055</v>
      </c>
    </row>
    <row r="1870" spans="1:11">
      <c r="A1870" s="141">
        <v>1870</v>
      </c>
      <c r="B1870" s="142">
        <v>43963</v>
      </c>
      <c r="C1870" s="149">
        <v>6.1999999999999993</v>
      </c>
      <c r="D1870" s="141">
        <v>19657.099999999973</v>
      </c>
      <c r="E1870" s="141"/>
      <c r="F1870" s="141"/>
      <c r="G1870" s="141"/>
      <c r="H1870" s="141"/>
      <c r="J1870" s="141">
        <f t="shared" si="59"/>
        <v>1.87</v>
      </c>
      <c r="K1870" s="141">
        <f t="shared" si="60"/>
        <v>60987.720000000052</v>
      </c>
    </row>
    <row r="1871" spans="1:11">
      <c r="A1871" s="141">
        <v>1871</v>
      </c>
      <c r="B1871" s="142">
        <v>43964</v>
      </c>
      <c r="C1871" s="149">
        <v>8.3000000000000007</v>
      </c>
      <c r="D1871" s="141">
        <v>19665.399999999972</v>
      </c>
      <c r="E1871" s="141"/>
      <c r="F1871" s="141"/>
      <c r="G1871" s="141"/>
      <c r="H1871" s="141"/>
      <c r="J1871" s="141">
        <f t="shared" si="59"/>
        <v>1.5549999999999999</v>
      </c>
      <c r="K1871" s="141">
        <f t="shared" si="60"/>
        <v>61025.040000000052</v>
      </c>
    </row>
    <row r="1872" spans="1:11">
      <c r="A1872" s="141">
        <v>1872</v>
      </c>
      <c r="B1872" s="142">
        <v>43965</v>
      </c>
      <c r="C1872" s="149">
        <v>10.399999999999999</v>
      </c>
      <c r="D1872" s="141">
        <v>19675.799999999974</v>
      </c>
      <c r="E1872" s="141"/>
      <c r="F1872" s="141"/>
      <c r="G1872" s="141"/>
      <c r="H1872" s="141"/>
      <c r="J1872" s="141">
        <f t="shared" si="59"/>
        <v>1.2400000000000002</v>
      </c>
      <c r="K1872" s="141">
        <f t="shared" si="60"/>
        <v>61054.800000000054</v>
      </c>
    </row>
    <row r="1873" spans="1:11">
      <c r="A1873" s="141">
        <v>1873</v>
      </c>
      <c r="B1873" s="142">
        <v>43966</v>
      </c>
      <c r="C1873" s="149">
        <v>10.3</v>
      </c>
      <c r="D1873" s="141">
        <v>19686.099999999973</v>
      </c>
      <c r="E1873" s="141"/>
      <c r="F1873" s="141"/>
      <c r="G1873" s="141"/>
      <c r="H1873" s="141"/>
      <c r="J1873" s="141">
        <f t="shared" si="59"/>
        <v>1.2549999999999999</v>
      </c>
      <c r="K1873" s="141">
        <f t="shared" si="60"/>
        <v>61084.920000000056</v>
      </c>
    </row>
    <row r="1874" spans="1:11">
      <c r="A1874" s="141">
        <v>1874</v>
      </c>
      <c r="B1874" s="142">
        <v>43967</v>
      </c>
      <c r="C1874" s="149">
        <v>11.2</v>
      </c>
      <c r="D1874" s="141">
        <v>19697.299999999974</v>
      </c>
      <c r="E1874" s="141"/>
      <c r="F1874" s="141"/>
      <c r="G1874" s="141"/>
      <c r="H1874" s="141"/>
      <c r="J1874" s="141">
        <f t="shared" si="59"/>
        <v>1.1200000000000001</v>
      </c>
      <c r="K1874" s="141">
        <f t="shared" si="60"/>
        <v>61111.800000000054</v>
      </c>
    </row>
    <row r="1875" spans="1:11">
      <c r="A1875" s="141">
        <v>1875</v>
      </c>
      <c r="B1875" s="142">
        <v>43968</v>
      </c>
      <c r="C1875" s="149">
        <v>13.600000000000001</v>
      </c>
      <c r="D1875" s="141">
        <v>19710.899999999972</v>
      </c>
      <c r="E1875" s="141"/>
      <c r="F1875" s="141"/>
      <c r="G1875" s="141"/>
      <c r="H1875" s="141"/>
      <c r="J1875" s="141">
        <f t="shared" si="59"/>
        <v>0.75999999999999979</v>
      </c>
      <c r="K1875" s="141">
        <f t="shared" si="60"/>
        <v>61130.040000000052</v>
      </c>
    </row>
    <row r="1876" spans="1:11">
      <c r="A1876" s="141">
        <v>1876</v>
      </c>
      <c r="B1876" s="142">
        <v>43969</v>
      </c>
      <c r="C1876" s="149">
        <v>15</v>
      </c>
      <c r="D1876" s="141">
        <v>19725.899999999972</v>
      </c>
      <c r="E1876" s="141"/>
      <c r="F1876" s="141"/>
      <c r="G1876" s="141"/>
      <c r="H1876" s="141"/>
      <c r="J1876" s="141">
        <f t="shared" si="59"/>
        <v>0.55000000000000004</v>
      </c>
      <c r="K1876" s="141">
        <f t="shared" si="60"/>
        <v>61143.240000000049</v>
      </c>
    </row>
    <row r="1877" spans="1:11">
      <c r="A1877" s="141">
        <v>1877</v>
      </c>
      <c r="B1877" s="142">
        <v>43970</v>
      </c>
      <c r="C1877" s="149">
        <v>17.399999999999999</v>
      </c>
      <c r="D1877" s="141">
        <v>19743.299999999974</v>
      </c>
      <c r="E1877" s="141"/>
      <c r="F1877" s="141"/>
      <c r="G1877" s="141"/>
      <c r="H1877" s="141"/>
      <c r="J1877" s="141">
        <f t="shared" si="59"/>
        <v>0.25</v>
      </c>
      <c r="K1877" s="141">
        <f t="shared" si="60"/>
        <v>61149.240000000049</v>
      </c>
    </row>
    <row r="1878" spans="1:11">
      <c r="A1878" s="141">
        <v>1878</v>
      </c>
      <c r="B1878" s="142">
        <v>43971</v>
      </c>
      <c r="C1878" s="149">
        <v>14.4</v>
      </c>
      <c r="D1878" s="141">
        <v>19757.699999999975</v>
      </c>
      <c r="E1878" s="141"/>
      <c r="F1878" s="141"/>
      <c r="G1878" s="141"/>
      <c r="H1878" s="141"/>
      <c r="J1878" s="141">
        <f t="shared" si="59"/>
        <v>0.6399999999999999</v>
      </c>
      <c r="K1878" s="141">
        <f t="shared" si="60"/>
        <v>61164.600000000049</v>
      </c>
    </row>
    <row r="1879" spans="1:11">
      <c r="A1879" s="141">
        <v>1879</v>
      </c>
      <c r="B1879" s="142">
        <v>43972</v>
      </c>
      <c r="C1879" s="149">
        <v>14.4</v>
      </c>
      <c r="D1879" s="141">
        <v>19772.099999999977</v>
      </c>
      <c r="E1879" s="141"/>
      <c r="F1879" s="141"/>
      <c r="G1879" s="141"/>
      <c r="H1879" s="141"/>
      <c r="J1879" s="141">
        <f t="shared" si="59"/>
        <v>0.6399999999999999</v>
      </c>
      <c r="K1879" s="141">
        <f t="shared" si="60"/>
        <v>61179.96000000005</v>
      </c>
    </row>
    <row r="1880" spans="1:11">
      <c r="A1880" s="141">
        <v>1880</v>
      </c>
      <c r="B1880" s="142">
        <v>43973</v>
      </c>
      <c r="C1880" s="149">
        <v>14.2</v>
      </c>
      <c r="D1880" s="141">
        <v>19786.299999999977</v>
      </c>
      <c r="E1880" s="141"/>
      <c r="F1880" s="141"/>
      <c r="G1880" s="141"/>
      <c r="H1880" s="141"/>
      <c r="J1880" s="141">
        <f t="shared" si="59"/>
        <v>0.67000000000000015</v>
      </c>
      <c r="K1880" s="141">
        <f t="shared" si="60"/>
        <v>61196.040000000052</v>
      </c>
    </row>
    <row r="1881" spans="1:11">
      <c r="A1881" s="141">
        <v>1881</v>
      </c>
      <c r="B1881" s="142">
        <v>43974</v>
      </c>
      <c r="C1881" s="149">
        <v>13.899999999999999</v>
      </c>
      <c r="D1881" s="141">
        <v>19800.199999999979</v>
      </c>
      <c r="E1881" s="141"/>
      <c r="F1881" s="141"/>
      <c r="G1881" s="141"/>
      <c r="H1881" s="141"/>
      <c r="J1881" s="141">
        <f t="shared" si="59"/>
        <v>0.71500000000000019</v>
      </c>
      <c r="K1881" s="141">
        <f t="shared" si="60"/>
        <v>61213.200000000055</v>
      </c>
    </row>
    <row r="1882" spans="1:11">
      <c r="A1882" s="141">
        <v>1882</v>
      </c>
      <c r="B1882" s="142">
        <v>43975</v>
      </c>
      <c r="C1882" s="149">
        <v>11.8</v>
      </c>
      <c r="D1882" s="141">
        <v>19811.999999999978</v>
      </c>
      <c r="E1882" s="141"/>
      <c r="F1882" s="141"/>
      <c r="G1882" s="141"/>
      <c r="H1882" s="141"/>
      <c r="J1882" s="141">
        <f t="shared" si="59"/>
        <v>1.0299999999999998</v>
      </c>
      <c r="K1882" s="141">
        <f t="shared" si="60"/>
        <v>61237.920000000056</v>
      </c>
    </row>
    <row r="1883" spans="1:11">
      <c r="A1883" s="141">
        <v>1883</v>
      </c>
      <c r="B1883" s="142">
        <v>43976</v>
      </c>
      <c r="C1883" s="149">
        <v>11.3</v>
      </c>
      <c r="D1883" s="141">
        <v>19823.299999999977</v>
      </c>
      <c r="E1883" s="141"/>
      <c r="F1883" s="141"/>
      <c r="G1883" s="141"/>
      <c r="H1883" s="141"/>
      <c r="J1883" s="141">
        <f t="shared" si="59"/>
        <v>1.105</v>
      </c>
      <c r="K1883" s="141">
        <f t="shared" si="60"/>
        <v>61264.440000000053</v>
      </c>
    </row>
    <row r="1884" spans="1:11">
      <c r="A1884" s="141">
        <v>1884</v>
      </c>
      <c r="B1884" s="142">
        <v>43977</v>
      </c>
      <c r="C1884" s="149">
        <v>12.7</v>
      </c>
      <c r="D1884" s="141">
        <v>19835.999999999978</v>
      </c>
      <c r="E1884" s="141"/>
      <c r="F1884" s="141"/>
      <c r="G1884" s="141"/>
      <c r="H1884" s="141"/>
      <c r="J1884" s="141">
        <f t="shared" si="59"/>
        <v>0.89500000000000002</v>
      </c>
      <c r="K1884" s="141">
        <f t="shared" si="60"/>
        <v>61285.920000000056</v>
      </c>
    </row>
    <row r="1885" spans="1:11">
      <c r="A1885" s="141">
        <v>1885</v>
      </c>
      <c r="B1885" s="142">
        <v>43978</v>
      </c>
      <c r="C1885" s="149">
        <v>13.8</v>
      </c>
      <c r="D1885" s="141">
        <v>19849.799999999977</v>
      </c>
      <c r="E1885" s="141"/>
      <c r="F1885" s="141"/>
      <c r="G1885" s="141"/>
      <c r="H1885" s="141"/>
      <c r="J1885" s="141">
        <f t="shared" si="59"/>
        <v>0.72999999999999987</v>
      </c>
      <c r="K1885" s="141">
        <f t="shared" si="60"/>
        <v>61303.440000000053</v>
      </c>
    </row>
    <row r="1886" spans="1:11">
      <c r="A1886" s="141">
        <v>1886</v>
      </c>
      <c r="B1886" s="142">
        <v>43979</v>
      </c>
      <c r="C1886" s="149">
        <v>12.399999999999999</v>
      </c>
      <c r="D1886" s="141">
        <v>19862.199999999979</v>
      </c>
      <c r="E1886" s="141"/>
      <c r="F1886" s="141"/>
      <c r="G1886" s="141"/>
      <c r="H1886" s="141"/>
      <c r="J1886" s="141">
        <f t="shared" si="59"/>
        <v>0.94000000000000017</v>
      </c>
      <c r="K1886" s="141">
        <f t="shared" si="60"/>
        <v>61326.000000000051</v>
      </c>
    </row>
    <row r="1887" spans="1:11">
      <c r="A1887" s="141">
        <v>1887</v>
      </c>
      <c r="B1887" s="142">
        <v>43980</v>
      </c>
      <c r="C1887" s="149">
        <v>13.5</v>
      </c>
      <c r="D1887" s="141">
        <v>19875.699999999979</v>
      </c>
      <c r="E1887" s="141"/>
      <c r="F1887" s="141"/>
      <c r="G1887" s="141"/>
      <c r="H1887" s="141"/>
      <c r="J1887" s="141">
        <f t="shared" si="59"/>
        <v>0.77500000000000002</v>
      </c>
      <c r="K1887" s="141">
        <f t="shared" si="60"/>
        <v>61344.600000000049</v>
      </c>
    </row>
    <row r="1888" spans="1:11">
      <c r="A1888" s="141">
        <v>1888</v>
      </c>
      <c r="B1888" s="142">
        <v>43981</v>
      </c>
      <c r="C1888" s="149">
        <v>13.100000000000001</v>
      </c>
      <c r="D1888" s="141">
        <v>19888.799999999977</v>
      </c>
      <c r="E1888" s="141"/>
      <c r="F1888" s="141"/>
      <c r="G1888" s="141"/>
      <c r="H1888" s="141"/>
      <c r="J1888" s="141">
        <f t="shared" si="59"/>
        <v>0.83499999999999974</v>
      </c>
      <c r="K1888" s="141">
        <f t="shared" si="60"/>
        <v>61364.64000000005</v>
      </c>
    </row>
    <row r="1889" spans="1:11">
      <c r="A1889" s="141">
        <v>1889</v>
      </c>
      <c r="B1889" s="142">
        <v>43982</v>
      </c>
      <c r="C1889" s="149">
        <v>12.100000000000001</v>
      </c>
      <c r="D1889" s="141">
        <v>19900.899999999976</v>
      </c>
      <c r="E1889" s="141"/>
      <c r="F1889" s="141"/>
      <c r="G1889" s="141"/>
      <c r="H1889" s="141"/>
      <c r="J1889" s="141">
        <f t="shared" si="59"/>
        <v>0.98499999999999976</v>
      </c>
      <c r="K1889" s="141">
        <f t="shared" si="60"/>
        <v>61388.28000000005</v>
      </c>
    </row>
    <row r="1890" spans="1:11">
      <c r="A1890" s="141">
        <v>1890</v>
      </c>
      <c r="B1890" s="142">
        <v>43983</v>
      </c>
      <c r="C1890" s="149">
        <v>16</v>
      </c>
      <c r="D1890" s="141">
        <v>19916.899999999976</v>
      </c>
      <c r="E1890" s="141"/>
      <c r="F1890" s="141"/>
      <c r="G1890" s="141"/>
      <c r="H1890" s="141"/>
      <c r="J1890" s="141">
        <f t="shared" si="59"/>
        <v>0.4</v>
      </c>
      <c r="K1890" s="141">
        <f t="shared" si="60"/>
        <v>61397.880000000048</v>
      </c>
    </row>
    <row r="1891" spans="1:11">
      <c r="A1891" s="141">
        <v>1891</v>
      </c>
      <c r="B1891" s="142">
        <v>43984</v>
      </c>
      <c r="C1891" s="149">
        <v>15.2</v>
      </c>
      <c r="D1891" s="141">
        <v>19932.099999999977</v>
      </c>
      <c r="E1891" s="141"/>
      <c r="F1891" s="141"/>
      <c r="G1891" s="141"/>
      <c r="H1891" s="141"/>
      <c r="J1891" s="141">
        <f t="shared" si="59"/>
        <v>0.52000000000000013</v>
      </c>
      <c r="K1891" s="141">
        <f t="shared" si="60"/>
        <v>61410.360000000052</v>
      </c>
    </row>
    <row r="1892" spans="1:11">
      <c r="A1892" s="141">
        <v>1892</v>
      </c>
      <c r="B1892" s="142">
        <v>43985</v>
      </c>
      <c r="C1892" s="149">
        <v>17.2</v>
      </c>
      <c r="D1892" s="141">
        <v>19949.299999999977</v>
      </c>
      <c r="E1892" s="141"/>
      <c r="F1892" s="141"/>
      <c r="G1892" s="141"/>
      <c r="H1892" s="141"/>
      <c r="J1892" s="141">
        <f t="shared" si="59"/>
        <v>0.25</v>
      </c>
      <c r="K1892" s="141">
        <f t="shared" si="60"/>
        <v>61416.360000000052</v>
      </c>
    </row>
    <row r="1893" spans="1:11">
      <c r="A1893" s="141">
        <v>1893</v>
      </c>
      <c r="B1893" s="142">
        <v>43986</v>
      </c>
      <c r="C1893" s="149">
        <v>15.9</v>
      </c>
      <c r="D1893" s="141">
        <v>19965.199999999979</v>
      </c>
      <c r="E1893" s="141"/>
      <c r="F1893" s="141"/>
      <c r="G1893" s="141"/>
      <c r="H1893" s="141"/>
      <c r="J1893" s="141">
        <f t="shared" si="59"/>
        <v>0.41499999999999992</v>
      </c>
      <c r="K1893" s="141">
        <f t="shared" si="60"/>
        <v>61426.320000000051</v>
      </c>
    </row>
    <row r="1894" spans="1:11">
      <c r="A1894" s="141">
        <v>1894</v>
      </c>
      <c r="B1894" s="142">
        <v>43987</v>
      </c>
      <c r="C1894" s="149">
        <v>14.5</v>
      </c>
      <c r="D1894" s="141">
        <v>19979.699999999979</v>
      </c>
      <c r="E1894" s="141"/>
      <c r="F1894" s="141"/>
      <c r="G1894" s="141"/>
      <c r="H1894" s="141"/>
      <c r="J1894" s="141">
        <f t="shared" si="59"/>
        <v>0.625</v>
      </c>
      <c r="K1894" s="141">
        <f t="shared" si="60"/>
        <v>61441.320000000051</v>
      </c>
    </row>
    <row r="1895" spans="1:11">
      <c r="A1895" s="141">
        <v>1895</v>
      </c>
      <c r="B1895" s="142">
        <v>43988</v>
      </c>
      <c r="C1895" s="149">
        <v>14</v>
      </c>
      <c r="D1895" s="141">
        <v>19993.699999999979</v>
      </c>
      <c r="E1895" s="141"/>
      <c r="F1895" s="141"/>
      <c r="G1895" s="141"/>
      <c r="H1895" s="141"/>
      <c r="J1895" s="141">
        <f t="shared" si="59"/>
        <v>0.7</v>
      </c>
      <c r="K1895" s="141">
        <f t="shared" si="60"/>
        <v>61458.120000000054</v>
      </c>
    </row>
    <row r="1896" spans="1:11">
      <c r="A1896" s="141">
        <v>1896</v>
      </c>
      <c r="B1896" s="142">
        <v>43989</v>
      </c>
      <c r="C1896" s="149">
        <v>14.6</v>
      </c>
      <c r="D1896" s="141">
        <v>20008.299999999977</v>
      </c>
      <c r="E1896" s="141"/>
      <c r="F1896" s="141"/>
      <c r="G1896" s="141"/>
      <c r="H1896" s="141"/>
      <c r="J1896" s="141">
        <f t="shared" si="59"/>
        <v>0.6100000000000001</v>
      </c>
      <c r="K1896" s="141">
        <f t="shared" si="60"/>
        <v>61472.760000000053</v>
      </c>
    </row>
    <row r="1897" spans="1:11">
      <c r="A1897" s="141">
        <v>1897</v>
      </c>
      <c r="B1897" s="142">
        <v>43990</v>
      </c>
      <c r="C1897" s="149">
        <v>14</v>
      </c>
      <c r="D1897" s="141">
        <v>20022.299999999977</v>
      </c>
      <c r="E1897" s="141"/>
      <c r="F1897" s="141"/>
      <c r="G1897" s="141"/>
      <c r="H1897" s="141"/>
      <c r="J1897" s="141">
        <f t="shared" si="59"/>
        <v>0.7</v>
      </c>
      <c r="K1897" s="141">
        <f t="shared" si="60"/>
        <v>61489.560000000056</v>
      </c>
    </row>
    <row r="1898" spans="1:11">
      <c r="A1898" s="141">
        <v>1898</v>
      </c>
      <c r="B1898" s="142">
        <v>43991</v>
      </c>
      <c r="C1898" s="149">
        <v>15.1</v>
      </c>
      <c r="D1898" s="141">
        <v>20037.399999999976</v>
      </c>
      <c r="E1898" s="141"/>
      <c r="F1898" s="141"/>
      <c r="G1898" s="141"/>
      <c r="H1898" s="141"/>
      <c r="J1898" s="141">
        <f t="shared" si="59"/>
        <v>0.53500000000000003</v>
      </c>
      <c r="K1898" s="141">
        <f t="shared" si="60"/>
        <v>61502.400000000052</v>
      </c>
    </row>
    <row r="1899" spans="1:11">
      <c r="A1899" s="141">
        <v>1899</v>
      </c>
      <c r="B1899" s="142">
        <v>43992</v>
      </c>
      <c r="C1899" s="149">
        <v>14.5</v>
      </c>
      <c r="D1899" s="141">
        <v>20051.899999999976</v>
      </c>
      <c r="E1899" s="141"/>
      <c r="F1899" s="141"/>
      <c r="G1899" s="141"/>
      <c r="H1899" s="141"/>
      <c r="J1899" s="141">
        <f t="shared" si="59"/>
        <v>0.625</v>
      </c>
      <c r="K1899" s="141">
        <f t="shared" si="60"/>
        <v>61517.400000000052</v>
      </c>
    </row>
    <row r="1900" spans="1:11">
      <c r="A1900" s="141">
        <v>1900</v>
      </c>
      <c r="B1900" s="142">
        <v>43993</v>
      </c>
      <c r="C1900" s="149">
        <v>16.899999999999999</v>
      </c>
      <c r="D1900" s="141">
        <v>20068.799999999977</v>
      </c>
      <c r="E1900" s="141"/>
      <c r="F1900" s="141"/>
      <c r="G1900" s="141"/>
      <c r="H1900" s="141"/>
      <c r="J1900" s="141">
        <f t="shared" si="59"/>
        <v>0.26500000000000024</v>
      </c>
      <c r="K1900" s="141">
        <f t="shared" si="60"/>
        <v>61523.760000000053</v>
      </c>
    </row>
    <row r="1901" spans="1:11">
      <c r="A1901" s="141">
        <v>1901</v>
      </c>
      <c r="B1901" s="142">
        <v>43994</v>
      </c>
      <c r="C1901" s="149">
        <v>19.399999999999999</v>
      </c>
      <c r="D1901" s="141">
        <v>20088.199999999979</v>
      </c>
      <c r="E1901" s="141"/>
      <c r="F1901" s="141"/>
      <c r="G1901" s="141"/>
      <c r="H1901" s="141"/>
      <c r="J1901" s="141">
        <f t="shared" si="59"/>
        <v>0.25</v>
      </c>
      <c r="K1901" s="141">
        <f t="shared" si="60"/>
        <v>61529.760000000053</v>
      </c>
    </row>
    <row r="1902" spans="1:11">
      <c r="A1902" s="141">
        <v>1902</v>
      </c>
      <c r="B1902" s="142">
        <v>43995</v>
      </c>
      <c r="C1902" s="149">
        <v>21.6</v>
      </c>
      <c r="D1902" s="141">
        <v>20109.799999999977</v>
      </c>
      <c r="E1902" s="141"/>
      <c r="F1902" s="141"/>
      <c r="G1902" s="141"/>
      <c r="H1902" s="141"/>
      <c r="J1902" s="141">
        <f t="shared" si="59"/>
        <v>0.25</v>
      </c>
      <c r="K1902" s="141">
        <f t="shared" si="60"/>
        <v>61535.760000000053</v>
      </c>
    </row>
    <row r="1903" spans="1:11">
      <c r="A1903" s="141">
        <v>1903</v>
      </c>
      <c r="B1903" s="142">
        <v>43996</v>
      </c>
      <c r="C1903" s="149">
        <v>18.5</v>
      </c>
      <c r="D1903" s="141">
        <v>20128.299999999977</v>
      </c>
      <c r="E1903" s="141"/>
      <c r="F1903" s="141"/>
      <c r="G1903" s="141"/>
      <c r="H1903" s="141"/>
      <c r="J1903" s="141">
        <f t="shared" si="59"/>
        <v>0.25</v>
      </c>
      <c r="K1903" s="141">
        <f t="shared" si="60"/>
        <v>61541.760000000053</v>
      </c>
    </row>
    <row r="1904" spans="1:11">
      <c r="A1904" s="141">
        <v>1904</v>
      </c>
      <c r="B1904" s="142">
        <v>43997</v>
      </c>
      <c r="C1904" s="149">
        <v>19.399999999999999</v>
      </c>
      <c r="D1904" s="141">
        <v>20147.699999999979</v>
      </c>
      <c r="E1904" s="141"/>
      <c r="F1904" s="141"/>
      <c r="G1904" s="141"/>
      <c r="H1904" s="141"/>
      <c r="J1904" s="141">
        <f t="shared" si="59"/>
        <v>0.25</v>
      </c>
      <c r="K1904" s="141">
        <f t="shared" si="60"/>
        <v>61547.760000000053</v>
      </c>
    </row>
    <row r="1905" spans="1:11">
      <c r="A1905" s="141">
        <v>1905</v>
      </c>
      <c r="B1905" s="142">
        <v>43998</v>
      </c>
      <c r="C1905" s="149">
        <v>19.399999999999999</v>
      </c>
      <c r="D1905" s="141">
        <v>20167.09999999998</v>
      </c>
      <c r="E1905" s="141"/>
      <c r="F1905" s="141"/>
      <c r="G1905" s="141"/>
      <c r="H1905" s="141"/>
      <c r="J1905" s="141">
        <f t="shared" si="59"/>
        <v>0.25</v>
      </c>
      <c r="K1905" s="141">
        <f t="shared" si="60"/>
        <v>61553.760000000053</v>
      </c>
    </row>
    <row r="1906" spans="1:11">
      <c r="A1906" s="141">
        <v>1906</v>
      </c>
      <c r="B1906" s="142">
        <v>43999</v>
      </c>
      <c r="C1906" s="149">
        <v>20</v>
      </c>
      <c r="D1906" s="141">
        <v>20187.09999999998</v>
      </c>
      <c r="E1906" s="141"/>
      <c r="F1906" s="141"/>
      <c r="G1906" s="141"/>
      <c r="H1906" s="141"/>
      <c r="J1906" s="141">
        <f t="shared" si="59"/>
        <v>0.25</v>
      </c>
      <c r="K1906" s="141">
        <f t="shared" si="60"/>
        <v>61559.760000000053</v>
      </c>
    </row>
    <row r="1907" spans="1:11">
      <c r="A1907" s="141">
        <v>1907</v>
      </c>
      <c r="B1907" s="142">
        <v>44000</v>
      </c>
      <c r="C1907" s="149">
        <v>18.3</v>
      </c>
      <c r="D1907" s="141">
        <v>20205.39999999998</v>
      </c>
      <c r="E1907" s="141"/>
      <c r="F1907" s="141"/>
      <c r="G1907" s="141"/>
      <c r="H1907" s="141"/>
      <c r="J1907" s="141">
        <f t="shared" si="59"/>
        <v>0.25</v>
      </c>
      <c r="K1907" s="141">
        <f t="shared" si="60"/>
        <v>61565.760000000053</v>
      </c>
    </row>
    <row r="1908" spans="1:11">
      <c r="A1908" s="141">
        <v>1908</v>
      </c>
      <c r="B1908" s="142">
        <v>44001</v>
      </c>
      <c r="C1908" s="149">
        <v>15.8</v>
      </c>
      <c r="D1908" s="141">
        <v>20221.199999999979</v>
      </c>
      <c r="E1908" s="141"/>
      <c r="F1908" s="141"/>
      <c r="G1908" s="141"/>
      <c r="H1908" s="141"/>
      <c r="J1908" s="141">
        <f t="shared" si="59"/>
        <v>0.42999999999999988</v>
      </c>
      <c r="K1908" s="141">
        <f t="shared" si="60"/>
        <v>61576.080000000053</v>
      </c>
    </row>
    <row r="1909" spans="1:11">
      <c r="A1909" s="141">
        <v>1909</v>
      </c>
      <c r="B1909" s="142">
        <v>44002</v>
      </c>
      <c r="C1909" s="149">
        <v>15.4</v>
      </c>
      <c r="D1909" s="141">
        <v>20236.59999999998</v>
      </c>
      <c r="E1909" s="141"/>
      <c r="F1909" s="141"/>
      <c r="G1909" s="141"/>
      <c r="H1909" s="141"/>
      <c r="J1909" s="141">
        <f t="shared" si="59"/>
        <v>0.48999999999999994</v>
      </c>
      <c r="K1909" s="141">
        <f t="shared" si="60"/>
        <v>61587.840000000055</v>
      </c>
    </row>
    <row r="1910" spans="1:11">
      <c r="A1910" s="141">
        <v>1910</v>
      </c>
      <c r="B1910" s="142">
        <v>44003</v>
      </c>
      <c r="C1910" s="149">
        <v>17.100000000000001</v>
      </c>
      <c r="D1910" s="141">
        <v>20253.699999999979</v>
      </c>
      <c r="E1910" s="141"/>
      <c r="F1910" s="141"/>
      <c r="G1910" s="141"/>
      <c r="H1910" s="141"/>
      <c r="J1910" s="141">
        <f t="shared" si="59"/>
        <v>0.25</v>
      </c>
      <c r="K1910" s="141">
        <f t="shared" si="60"/>
        <v>61593.840000000055</v>
      </c>
    </row>
    <row r="1911" spans="1:11">
      <c r="A1911" s="141">
        <v>1911</v>
      </c>
      <c r="B1911" s="142">
        <v>44004</v>
      </c>
      <c r="C1911" s="149">
        <v>20.6</v>
      </c>
      <c r="D1911" s="141">
        <v>20274.299999999977</v>
      </c>
      <c r="E1911" s="141"/>
      <c r="F1911" s="141"/>
      <c r="G1911" s="141"/>
      <c r="H1911" s="141"/>
      <c r="J1911" s="141">
        <f t="shared" si="59"/>
        <v>0.25</v>
      </c>
      <c r="K1911" s="141">
        <f t="shared" si="60"/>
        <v>61599.840000000055</v>
      </c>
    </row>
    <row r="1912" spans="1:11">
      <c r="A1912" s="141">
        <v>1912</v>
      </c>
      <c r="B1912" s="142">
        <v>44005</v>
      </c>
      <c r="C1912" s="149">
        <v>19.100000000000001</v>
      </c>
      <c r="D1912" s="141">
        <v>20293.399999999976</v>
      </c>
      <c r="E1912" s="141"/>
      <c r="F1912" s="141"/>
      <c r="G1912" s="141"/>
      <c r="H1912" s="141"/>
      <c r="J1912" s="141">
        <f t="shared" si="59"/>
        <v>0.25</v>
      </c>
      <c r="K1912" s="141">
        <f t="shared" si="60"/>
        <v>61605.840000000055</v>
      </c>
    </row>
    <row r="1913" spans="1:11">
      <c r="A1913" s="141">
        <v>1913</v>
      </c>
      <c r="B1913" s="142">
        <v>44006</v>
      </c>
      <c r="C1913" s="149">
        <v>15.3</v>
      </c>
      <c r="D1913" s="141">
        <v>20308.699999999975</v>
      </c>
      <c r="E1913" s="141"/>
      <c r="F1913" s="141"/>
      <c r="G1913" s="141"/>
      <c r="H1913" s="141"/>
      <c r="J1913" s="141">
        <f t="shared" si="59"/>
        <v>0.50499999999999989</v>
      </c>
      <c r="K1913" s="141">
        <f t="shared" si="60"/>
        <v>61617.960000000057</v>
      </c>
    </row>
    <row r="1914" spans="1:11">
      <c r="A1914" s="141">
        <v>1914</v>
      </c>
      <c r="B1914" s="142">
        <v>44007</v>
      </c>
      <c r="C1914" s="149">
        <v>18.600000000000001</v>
      </c>
      <c r="D1914" s="141">
        <v>20327.299999999974</v>
      </c>
      <c r="E1914" s="141"/>
      <c r="F1914" s="141"/>
      <c r="G1914" s="141"/>
      <c r="H1914" s="141"/>
      <c r="J1914" s="141">
        <f t="shared" si="59"/>
        <v>0.25</v>
      </c>
      <c r="K1914" s="141">
        <f t="shared" si="60"/>
        <v>61623.960000000057</v>
      </c>
    </row>
    <row r="1915" spans="1:11">
      <c r="A1915" s="141">
        <v>1915</v>
      </c>
      <c r="B1915" s="142">
        <v>44008</v>
      </c>
      <c r="C1915" s="149">
        <v>18.600000000000001</v>
      </c>
      <c r="D1915" s="141">
        <v>20345.899999999972</v>
      </c>
      <c r="E1915" s="141"/>
      <c r="F1915" s="141"/>
      <c r="G1915" s="141"/>
      <c r="H1915" s="141"/>
      <c r="J1915" s="141">
        <f t="shared" si="59"/>
        <v>0.25</v>
      </c>
      <c r="K1915" s="141">
        <f t="shared" si="60"/>
        <v>61629.960000000057</v>
      </c>
    </row>
    <row r="1916" spans="1:11">
      <c r="A1916" s="141">
        <v>1916</v>
      </c>
      <c r="B1916" s="142">
        <v>44009</v>
      </c>
      <c r="C1916" s="149">
        <v>21.9</v>
      </c>
      <c r="D1916" s="141">
        <v>20367.799999999974</v>
      </c>
      <c r="E1916" s="141"/>
      <c r="F1916" s="141"/>
      <c r="G1916" s="141"/>
      <c r="H1916" s="141"/>
      <c r="J1916" s="141">
        <f t="shared" si="59"/>
        <v>0.25</v>
      </c>
      <c r="K1916" s="141">
        <f t="shared" si="60"/>
        <v>61635.960000000057</v>
      </c>
    </row>
    <row r="1917" spans="1:11">
      <c r="A1917" s="141">
        <v>1917</v>
      </c>
      <c r="B1917" s="142">
        <v>44010</v>
      </c>
      <c r="C1917" s="149">
        <v>23.4</v>
      </c>
      <c r="D1917" s="141">
        <v>20391.199999999975</v>
      </c>
      <c r="E1917" s="141"/>
      <c r="F1917" s="141"/>
      <c r="G1917" s="141"/>
      <c r="H1917" s="141"/>
      <c r="J1917" s="141">
        <f t="shared" si="59"/>
        <v>0.25</v>
      </c>
      <c r="K1917" s="141">
        <f t="shared" si="60"/>
        <v>61641.960000000057</v>
      </c>
    </row>
    <row r="1918" spans="1:11">
      <c r="A1918" s="141">
        <v>1918</v>
      </c>
      <c r="B1918" s="142">
        <v>44011</v>
      </c>
      <c r="C1918" s="149">
        <v>18.600000000000001</v>
      </c>
      <c r="D1918" s="141">
        <v>20409.799999999974</v>
      </c>
      <c r="E1918" s="141"/>
      <c r="F1918" s="141"/>
      <c r="G1918" s="141"/>
      <c r="H1918" s="141"/>
      <c r="J1918" s="141">
        <f t="shared" si="59"/>
        <v>0.25</v>
      </c>
      <c r="K1918" s="141">
        <f t="shared" si="60"/>
        <v>61647.960000000057</v>
      </c>
    </row>
    <row r="1919" spans="1:11">
      <c r="A1919" s="141">
        <v>1919</v>
      </c>
      <c r="B1919" s="142">
        <v>44012</v>
      </c>
      <c r="C1919" s="149">
        <v>19.2</v>
      </c>
      <c r="D1919" s="141">
        <v>20428.999999999975</v>
      </c>
      <c r="E1919" s="141"/>
      <c r="F1919" s="141"/>
      <c r="G1919" s="141"/>
      <c r="H1919" s="141"/>
      <c r="J1919" s="141">
        <f t="shared" si="59"/>
        <v>0.25</v>
      </c>
      <c r="K1919" s="141">
        <f t="shared" si="60"/>
        <v>61653.960000000057</v>
      </c>
    </row>
    <row r="1920" spans="1:11">
      <c r="A1920" s="141">
        <v>1920</v>
      </c>
      <c r="B1920" s="142">
        <v>44013</v>
      </c>
      <c r="C1920" s="149">
        <v>22.5</v>
      </c>
      <c r="D1920" s="141">
        <v>20451.499999999975</v>
      </c>
      <c r="E1920" s="141"/>
      <c r="F1920" s="141"/>
      <c r="G1920" s="141"/>
      <c r="H1920" s="141"/>
      <c r="J1920" s="141">
        <f t="shared" si="59"/>
        <v>0.25</v>
      </c>
      <c r="K1920" s="141">
        <f t="shared" si="60"/>
        <v>61659.960000000057</v>
      </c>
    </row>
    <row r="1921" spans="1:11">
      <c r="A1921" s="141">
        <v>1921</v>
      </c>
      <c r="B1921" s="142">
        <v>44014</v>
      </c>
      <c r="C1921" s="149">
        <v>20.8</v>
      </c>
      <c r="D1921" s="141">
        <v>20472.299999999974</v>
      </c>
      <c r="E1921" s="141"/>
      <c r="F1921" s="141"/>
      <c r="G1921" s="141"/>
      <c r="H1921" s="141"/>
      <c r="J1921" s="141">
        <f t="shared" si="59"/>
        <v>0.25</v>
      </c>
      <c r="K1921" s="141">
        <f t="shared" si="60"/>
        <v>61665.960000000057</v>
      </c>
    </row>
    <row r="1922" spans="1:11">
      <c r="A1922" s="141">
        <v>1922</v>
      </c>
      <c r="B1922" s="142">
        <v>44015</v>
      </c>
      <c r="C1922" s="149">
        <v>19.2</v>
      </c>
      <c r="D1922" s="141">
        <v>20491.499999999975</v>
      </c>
      <c r="E1922" s="141"/>
      <c r="F1922" s="141"/>
      <c r="G1922" s="141"/>
      <c r="H1922" s="141"/>
      <c r="J1922" s="141">
        <f t="shared" si="59"/>
        <v>0.25</v>
      </c>
      <c r="K1922" s="141">
        <f t="shared" si="60"/>
        <v>61671.960000000057</v>
      </c>
    </row>
    <row r="1923" spans="1:11">
      <c r="A1923" s="141">
        <v>1923</v>
      </c>
      <c r="B1923" s="142">
        <v>44016</v>
      </c>
      <c r="C1923" s="149">
        <v>19.7</v>
      </c>
      <c r="D1923" s="141">
        <v>20511.199999999975</v>
      </c>
      <c r="E1923" s="141"/>
      <c r="F1923" s="141"/>
      <c r="G1923" s="141"/>
      <c r="H1923" s="141"/>
      <c r="J1923" s="141">
        <f t="shared" si="59"/>
        <v>0.25</v>
      </c>
      <c r="K1923" s="141">
        <f t="shared" si="60"/>
        <v>61677.960000000057</v>
      </c>
    </row>
    <row r="1924" spans="1:11">
      <c r="A1924" s="141">
        <v>1924</v>
      </c>
      <c r="B1924" s="142">
        <v>44017</v>
      </c>
      <c r="C1924" s="149">
        <v>22.4</v>
      </c>
      <c r="D1924" s="141">
        <v>20533.599999999977</v>
      </c>
      <c r="E1924" s="141"/>
      <c r="F1924" s="141"/>
      <c r="G1924" s="141"/>
      <c r="H1924" s="141"/>
      <c r="J1924" s="141">
        <f t="shared" si="59"/>
        <v>0.25</v>
      </c>
      <c r="K1924" s="141">
        <f t="shared" si="60"/>
        <v>61683.960000000057</v>
      </c>
    </row>
    <row r="1925" spans="1:11">
      <c r="A1925" s="141">
        <v>1925</v>
      </c>
      <c r="B1925" s="142">
        <v>44018</v>
      </c>
      <c r="C1925" s="149">
        <v>20</v>
      </c>
      <c r="D1925" s="141">
        <v>20553.599999999977</v>
      </c>
      <c r="E1925" s="141"/>
      <c r="F1925" s="141"/>
      <c r="G1925" s="141"/>
      <c r="H1925" s="141"/>
      <c r="J1925" s="141">
        <f t="shared" si="59"/>
        <v>0.25</v>
      </c>
      <c r="K1925" s="141">
        <f t="shared" si="60"/>
        <v>61689.960000000057</v>
      </c>
    </row>
    <row r="1926" spans="1:11">
      <c r="A1926" s="141">
        <v>1926</v>
      </c>
      <c r="B1926" s="142">
        <v>44019</v>
      </c>
      <c r="C1926" s="149">
        <v>15.3</v>
      </c>
      <c r="D1926" s="141">
        <v>20568.899999999976</v>
      </c>
      <c r="E1926" s="141"/>
      <c r="F1926" s="141"/>
      <c r="G1926" s="141"/>
      <c r="H1926" s="141"/>
      <c r="J1926" s="141">
        <f t="shared" si="59"/>
        <v>0.50499999999999989</v>
      </c>
      <c r="K1926" s="141">
        <f t="shared" si="60"/>
        <v>61702.08000000006</v>
      </c>
    </row>
    <row r="1927" spans="1:11">
      <c r="A1927" s="141">
        <v>1927</v>
      </c>
      <c r="B1927" s="142">
        <v>44020</v>
      </c>
      <c r="C1927" s="149">
        <v>14.8</v>
      </c>
      <c r="D1927" s="141">
        <v>20583.699999999975</v>
      </c>
      <c r="E1927" s="141"/>
      <c r="F1927" s="141"/>
      <c r="G1927" s="141"/>
      <c r="H1927" s="141"/>
      <c r="J1927" s="141">
        <f t="shared" ref="J1927:J1990" si="61">J$1+(IF(J$3-$C1927&gt;0,J$3-$C1927,0)*J$2/30)</f>
        <v>0.57999999999999985</v>
      </c>
      <c r="K1927" s="141">
        <f t="shared" ref="K1927:K1990" si="62">K1926+J1927*24</f>
        <v>61716.000000000058</v>
      </c>
    </row>
    <row r="1928" spans="1:11">
      <c r="A1928" s="141">
        <v>1928</v>
      </c>
      <c r="B1928" s="142">
        <v>44021</v>
      </c>
      <c r="C1928" s="149">
        <v>18.2</v>
      </c>
      <c r="D1928" s="141">
        <v>20601.899999999976</v>
      </c>
      <c r="E1928" s="141"/>
      <c r="F1928" s="141"/>
      <c r="G1928" s="141"/>
      <c r="H1928" s="141"/>
      <c r="J1928" s="141">
        <f t="shared" si="61"/>
        <v>0.25</v>
      </c>
      <c r="K1928" s="141">
        <f t="shared" si="62"/>
        <v>61722.000000000058</v>
      </c>
    </row>
    <row r="1929" spans="1:11">
      <c r="A1929" s="141">
        <v>1929</v>
      </c>
      <c r="B1929" s="142">
        <v>44022</v>
      </c>
      <c r="C1929" s="149">
        <v>24</v>
      </c>
      <c r="D1929" s="141">
        <v>20625.899999999976</v>
      </c>
      <c r="E1929" s="141"/>
      <c r="F1929" s="141"/>
      <c r="G1929" s="141"/>
      <c r="H1929" s="141"/>
      <c r="J1929" s="141">
        <f t="shared" si="61"/>
        <v>0.25</v>
      </c>
      <c r="K1929" s="141">
        <f t="shared" si="62"/>
        <v>61728.000000000058</v>
      </c>
    </row>
    <row r="1930" spans="1:11">
      <c r="A1930" s="141">
        <v>1930</v>
      </c>
      <c r="B1930" s="142">
        <v>44023</v>
      </c>
      <c r="C1930" s="149">
        <v>15.5</v>
      </c>
      <c r="D1930" s="141">
        <v>20641.399999999976</v>
      </c>
      <c r="E1930" s="141"/>
      <c r="F1930" s="141"/>
      <c r="G1930" s="141"/>
      <c r="H1930" s="141"/>
      <c r="J1930" s="141">
        <f t="shared" si="61"/>
        <v>0.47499999999999998</v>
      </c>
      <c r="K1930" s="141">
        <f t="shared" si="62"/>
        <v>61739.40000000006</v>
      </c>
    </row>
    <row r="1931" spans="1:11">
      <c r="A1931" s="141">
        <v>1931</v>
      </c>
      <c r="B1931" s="142">
        <v>44024</v>
      </c>
      <c r="C1931" s="149">
        <v>15.4</v>
      </c>
      <c r="D1931" s="141">
        <v>20656.799999999977</v>
      </c>
      <c r="E1931" s="141"/>
      <c r="F1931" s="141"/>
      <c r="G1931" s="141"/>
      <c r="H1931" s="141"/>
      <c r="J1931" s="141">
        <f t="shared" si="61"/>
        <v>0.48999999999999994</v>
      </c>
      <c r="K1931" s="141">
        <f t="shared" si="62"/>
        <v>61751.160000000062</v>
      </c>
    </row>
    <row r="1932" spans="1:11">
      <c r="A1932" s="141">
        <v>1932</v>
      </c>
      <c r="B1932" s="142">
        <v>44025</v>
      </c>
      <c r="C1932" s="149">
        <v>16.3</v>
      </c>
      <c r="D1932" s="141">
        <v>20673.099999999977</v>
      </c>
      <c r="E1932" s="141"/>
      <c r="F1932" s="141"/>
      <c r="G1932" s="141"/>
      <c r="H1932" s="141"/>
      <c r="J1932" s="141">
        <f t="shared" si="61"/>
        <v>0.35499999999999987</v>
      </c>
      <c r="K1932" s="141">
        <f t="shared" si="62"/>
        <v>61759.680000000058</v>
      </c>
    </row>
    <row r="1933" spans="1:11">
      <c r="A1933" s="141">
        <v>1933</v>
      </c>
      <c r="B1933" s="142">
        <v>44026</v>
      </c>
      <c r="C1933" s="149">
        <v>18.2</v>
      </c>
      <c r="D1933" s="141">
        <v>20691.299999999977</v>
      </c>
      <c r="E1933" s="141"/>
      <c r="F1933" s="141"/>
      <c r="G1933" s="141"/>
      <c r="H1933" s="141"/>
      <c r="J1933" s="141">
        <f t="shared" si="61"/>
        <v>0.25</v>
      </c>
      <c r="K1933" s="141">
        <f t="shared" si="62"/>
        <v>61765.680000000058</v>
      </c>
    </row>
    <row r="1934" spans="1:11">
      <c r="A1934" s="141">
        <v>1934</v>
      </c>
      <c r="B1934" s="142">
        <v>44027</v>
      </c>
      <c r="C1934" s="149">
        <v>18.2</v>
      </c>
      <c r="D1934" s="141">
        <v>20709.499999999978</v>
      </c>
      <c r="E1934" s="141"/>
      <c r="F1934" s="141"/>
      <c r="G1934" s="141"/>
      <c r="H1934" s="141"/>
      <c r="J1934" s="141">
        <f t="shared" si="61"/>
        <v>0.25</v>
      </c>
      <c r="K1934" s="141">
        <f t="shared" si="62"/>
        <v>61771.680000000058</v>
      </c>
    </row>
    <row r="1935" spans="1:11">
      <c r="A1935" s="141">
        <v>1935</v>
      </c>
      <c r="B1935" s="142">
        <v>44028</v>
      </c>
      <c r="C1935" s="149">
        <v>15.2</v>
      </c>
      <c r="D1935" s="141">
        <v>20724.699999999979</v>
      </c>
      <c r="E1935" s="141"/>
      <c r="F1935" s="141"/>
      <c r="G1935" s="141"/>
      <c r="H1935" s="141"/>
      <c r="J1935" s="141">
        <f t="shared" si="61"/>
        <v>0.52000000000000013</v>
      </c>
      <c r="K1935" s="141">
        <f t="shared" si="62"/>
        <v>61784.160000000062</v>
      </c>
    </row>
    <row r="1936" spans="1:11">
      <c r="A1936" s="141">
        <v>1936</v>
      </c>
      <c r="B1936" s="142">
        <v>44029</v>
      </c>
      <c r="C1936" s="149">
        <v>15.7</v>
      </c>
      <c r="D1936" s="141">
        <v>20740.39999999998</v>
      </c>
      <c r="E1936" s="141"/>
      <c r="F1936" s="141"/>
      <c r="G1936" s="141"/>
      <c r="H1936" s="141"/>
      <c r="J1936" s="141">
        <f t="shared" si="61"/>
        <v>0.44500000000000012</v>
      </c>
      <c r="K1936" s="141">
        <f t="shared" si="62"/>
        <v>61794.840000000062</v>
      </c>
    </row>
    <row r="1937" spans="1:11">
      <c r="A1937" s="141">
        <v>1937</v>
      </c>
      <c r="B1937" s="142">
        <v>44030</v>
      </c>
      <c r="C1937" s="149">
        <v>17.5</v>
      </c>
      <c r="D1937" s="141">
        <v>20757.89999999998</v>
      </c>
      <c r="E1937" s="141"/>
      <c r="F1937" s="141"/>
      <c r="G1937" s="141"/>
      <c r="H1937" s="141"/>
      <c r="J1937" s="141">
        <f t="shared" si="61"/>
        <v>0.25</v>
      </c>
      <c r="K1937" s="141">
        <f t="shared" si="62"/>
        <v>61800.840000000062</v>
      </c>
    </row>
    <row r="1938" spans="1:11">
      <c r="A1938" s="141">
        <v>1938</v>
      </c>
      <c r="B1938" s="142">
        <v>44031</v>
      </c>
      <c r="C1938" s="149">
        <v>20.7</v>
      </c>
      <c r="D1938" s="141">
        <v>20778.59999999998</v>
      </c>
      <c r="E1938" s="141"/>
      <c r="F1938" s="141"/>
      <c r="G1938" s="141"/>
      <c r="H1938" s="141"/>
      <c r="J1938" s="141">
        <f t="shared" si="61"/>
        <v>0.25</v>
      </c>
      <c r="K1938" s="141">
        <f t="shared" si="62"/>
        <v>61806.840000000062</v>
      </c>
    </row>
    <row r="1939" spans="1:11">
      <c r="A1939" s="141">
        <v>1939</v>
      </c>
      <c r="B1939" s="142">
        <v>44032</v>
      </c>
      <c r="C1939" s="149">
        <v>22</v>
      </c>
      <c r="D1939" s="141">
        <v>20800.59999999998</v>
      </c>
      <c r="E1939" s="141"/>
      <c r="F1939" s="141"/>
      <c r="G1939" s="141"/>
      <c r="H1939" s="141"/>
      <c r="J1939" s="141">
        <f t="shared" si="61"/>
        <v>0.25</v>
      </c>
      <c r="K1939" s="141">
        <f t="shared" si="62"/>
        <v>61812.840000000062</v>
      </c>
    </row>
    <row r="1940" spans="1:11">
      <c r="A1940" s="141">
        <v>1940</v>
      </c>
      <c r="B1940" s="142">
        <v>44033</v>
      </c>
      <c r="C1940" s="149">
        <v>19.899999999999999</v>
      </c>
      <c r="D1940" s="141">
        <v>20820.499999999982</v>
      </c>
      <c r="E1940" s="141"/>
      <c r="F1940" s="141"/>
      <c r="G1940" s="141"/>
      <c r="H1940" s="141"/>
      <c r="J1940" s="141">
        <f t="shared" si="61"/>
        <v>0.25</v>
      </c>
      <c r="K1940" s="141">
        <f t="shared" si="62"/>
        <v>61818.840000000062</v>
      </c>
    </row>
    <row r="1941" spans="1:11">
      <c r="A1941" s="141">
        <v>1941</v>
      </c>
      <c r="B1941" s="142">
        <v>44034</v>
      </c>
      <c r="C1941" s="149">
        <v>18.600000000000001</v>
      </c>
      <c r="D1941" s="141">
        <v>20839.09999999998</v>
      </c>
      <c r="E1941" s="141"/>
      <c r="F1941" s="141"/>
      <c r="G1941" s="141"/>
      <c r="H1941" s="141"/>
      <c r="J1941" s="141">
        <f t="shared" si="61"/>
        <v>0.25</v>
      </c>
      <c r="K1941" s="141">
        <f t="shared" si="62"/>
        <v>61824.840000000062</v>
      </c>
    </row>
    <row r="1942" spans="1:11">
      <c r="A1942" s="141">
        <v>1942</v>
      </c>
      <c r="B1942" s="142">
        <v>44035</v>
      </c>
      <c r="C1942" s="149">
        <v>18.600000000000001</v>
      </c>
      <c r="D1942" s="141">
        <v>20857.699999999979</v>
      </c>
      <c r="E1942" s="141"/>
      <c r="F1942" s="141"/>
      <c r="G1942" s="141"/>
      <c r="H1942" s="141"/>
      <c r="J1942" s="141">
        <f t="shared" si="61"/>
        <v>0.25</v>
      </c>
      <c r="K1942" s="141">
        <f t="shared" si="62"/>
        <v>61830.840000000062</v>
      </c>
    </row>
    <row r="1943" spans="1:11">
      <c r="A1943" s="141">
        <v>1943</v>
      </c>
      <c r="B1943" s="142">
        <v>44036</v>
      </c>
      <c r="C1943" s="149">
        <v>20.3</v>
      </c>
      <c r="D1943" s="141">
        <v>20877.999999999978</v>
      </c>
      <c r="E1943" s="141"/>
      <c r="F1943" s="141"/>
      <c r="G1943" s="141"/>
      <c r="H1943" s="141"/>
      <c r="J1943" s="141">
        <f t="shared" si="61"/>
        <v>0.25</v>
      </c>
      <c r="K1943" s="141">
        <f t="shared" si="62"/>
        <v>61836.840000000062</v>
      </c>
    </row>
    <row r="1944" spans="1:11">
      <c r="A1944" s="141">
        <v>1944</v>
      </c>
      <c r="B1944" s="142">
        <v>44037</v>
      </c>
      <c r="C1944" s="149">
        <v>22</v>
      </c>
      <c r="D1944" s="141">
        <v>20899.999999999978</v>
      </c>
      <c r="E1944" s="141"/>
      <c r="F1944" s="141"/>
      <c r="G1944" s="141"/>
      <c r="H1944" s="141"/>
      <c r="J1944" s="141">
        <f t="shared" si="61"/>
        <v>0.25</v>
      </c>
      <c r="K1944" s="141">
        <f t="shared" si="62"/>
        <v>61842.840000000062</v>
      </c>
    </row>
    <row r="1945" spans="1:11">
      <c r="A1945" s="141">
        <v>1945</v>
      </c>
      <c r="B1945" s="142">
        <v>44038</v>
      </c>
      <c r="C1945" s="149">
        <v>19.899999999999999</v>
      </c>
      <c r="D1945" s="141">
        <v>20919.89999999998</v>
      </c>
      <c r="E1945" s="141"/>
      <c r="F1945" s="141"/>
      <c r="G1945" s="141"/>
      <c r="H1945" s="141"/>
      <c r="J1945" s="141">
        <f t="shared" si="61"/>
        <v>0.25</v>
      </c>
      <c r="K1945" s="141">
        <f t="shared" si="62"/>
        <v>61848.840000000062</v>
      </c>
    </row>
    <row r="1946" spans="1:11">
      <c r="A1946" s="141">
        <v>1946</v>
      </c>
      <c r="B1946" s="142">
        <v>44039</v>
      </c>
      <c r="C1946" s="149">
        <v>21.3</v>
      </c>
      <c r="D1946" s="141">
        <v>20941.199999999979</v>
      </c>
      <c r="E1946" s="141"/>
      <c r="F1946" s="141"/>
      <c r="G1946" s="141"/>
      <c r="H1946" s="141"/>
      <c r="J1946" s="141">
        <f t="shared" si="61"/>
        <v>0.25</v>
      </c>
      <c r="K1946" s="141">
        <f t="shared" si="62"/>
        <v>61854.840000000062</v>
      </c>
    </row>
    <row r="1947" spans="1:11">
      <c r="A1947" s="141">
        <v>1947</v>
      </c>
      <c r="B1947" s="142">
        <v>44040</v>
      </c>
      <c r="C1947" s="149">
        <v>24.6</v>
      </c>
      <c r="D1947" s="141">
        <v>20965.799999999977</v>
      </c>
      <c r="E1947" s="141"/>
      <c r="F1947" s="141"/>
      <c r="G1947" s="141"/>
      <c r="H1947" s="141"/>
      <c r="J1947" s="141">
        <f t="shared" si="61"/>
        <v>0.25</v>
      </c>
      <c r="K1947" s="141">
        <f t="shared" si="62"/>
        <v>61860.840000000062</v>
      </c>
    </row>
    <row r="1948" spans="1:11">
      <c r="A1948" s="141">
        <v>1948</v>
      </c>
      <c r="B1948" s="142">
        <v>44041</v>
      </c>
      <c r="C1948" s="149">
        <v>22.4</v>
      </c>
      <c r="D1948" s="141">
        <v>20988.199999999979</v>
      </c>
      <c r="E1948" s="141"/>
      <c r="F1948" s="141"/>
      <c r="G1948" s="141"/>
      <c r="H1948" s="141"/>
      <c r="J1948" s="141">
        <f t="shared" si="61"/>
        <v>0.25</v>
      </c>
      <c r="K1948" s="141">
        <f t="shared" si="62"/>
        <v>61866.840000000062</v>
      </c>
    </row>
    <row r="1949" spans="1:11">
      <c r="A1949" s="141">
        <v>1949</v>
      </c>
      <c r="B1949" s="142">
        <v>44042</v>
      </c>
      <c r="C1949" s="149">
        <v>20.9</v>
      </c>
      <c r="D1949" s="141">
        <v>21009.09999999998</v>
      </c>
      <c r="E1949" s="141"/>
      <c r="F1949" s="141"/>
      <c r="G1949" s="141"/>
      <c r="H1949" s="141"/>
      <c r="J1949" s="141">
        <f t="shared" si="61"/>
        <v>0.25</v>
      </c>
      <c r="K1949" s="141">
        <f t="shared" si="62"/>
        <v>61872.840000000062</v>
      </c>
    </row>
    <row r="1950" spans="1:11">
      <c r="A1950" s="141">
        <v>1950</v>
      </c>
      <c r="B1950" s="142">
        <v>44043</v>
      </c>
      <c r="C1950" s="149">
        <v>22</v>
      </c>
      <c r="D1950" s="141">
        <v>21031.09999999998</v>
      </c>
      <c r="E1950" s="141"/>
      <c r="F1950" s="141"/>
      <c r="G1950" s="141"/>
      <c r="H1950" s="141"/>
      <c r="J1950" s="141">
        <f t="shared" si="61"/>
        <v>0.25</v>
      </c>
      <c r="K1950" s="141">
        <f t="shared" si="62"/>
        <v>61878.840000000062</v>
      </c>
    </row>
    <row r="1951" spans="1:11">
      <c r="A1951" s="141">
        <v>1951</v>
      </c>
      <c r="B1951" s="142">
        <v>44044</v>
      </c>
      <c r="C1951" s="149">
        <v>22.6</v>
      </c>
      <c r="D1951" s="141">
        <v>21053.699999999979</v>
      </c>
      <c r="E1951" s="141"/>
      <c r="F1951" s="141"/>
      <c r="G1951" s="141"/>
      <c r="H1951" s="141"/>
      <c r="J1951" s="141">
        <f t="shared" si="61"/>
        <v>0.25</v>
      </c>
      <c r="K1951" s="141">
        <f t="shared" si="62"/>
        <v>61884.840000000062</v>
      </c>
    </row>
    <row r="1952" spans="1:11">
      <c r="A1952" s="141">
        <v>1952</v>
      </c>
      <c r="B1952" s="142">
        <v>44045</v>
      </c>
      <c r="C1952" s="149">
        <v>19.5</v>
      </c>
      <c r="D1952" s="141">
        <v>21073.199999999979</v>
      </c>
      <c r="E1952" s="141"/>
      <c r="F1952" s="141"/>
      <c r="G1952" s="141"/>
      <c r="H1952" s="141"/>
      <c r="J1952" s="141">
        <f t="shared" si="61"/>
        <v>0.25</v>
      </c>
      <c r="K1952" s="141">
        <f t="shared" si="62"/>
        <v>61890.840000000062</v>
      </c>
    </row>
    <row r="1953" spans="1:11">
      <c r="A1953" s="141">
        <v>1953</v>
      </c>
      <c r="B1953" s="142">
        <v>44046</v>
      </c>
      <c r="C1953" s="149">
        <v>16.600000000000001</v>
      </c>
      <c r="D1953" s="141">
        <v>21089.799999999977</v>
      </c>
      <c r="E1953" s="141"/>
      <c r="F1953" s="141"/>
      <c r="G1953" s="141"/>
      <c r="H1953" s="141"/>
      <c r="J1953" s="141">
        <f t="shared" si="61"/>
        <v>0.30999999999999978</v>
      </c>
      <c r="K1953" s="141">
        <f t="shared" si="62"/>
        <v>61898.280000000064</v>
      </c>
    </row>
    <row r="1954" spans="1:11">
      <c r="A1954" s="141">
        <v>1954</v>
      </c>
      <c r="B1954" s="142">
        <v>44047</v>
      </c>
      <c r="C1954" s="149">
        <v>15.1</v>
      </c>
      <c r="D1954" s="141">
        <v>21104.899999999976</v>
      </c>
      <c r="E1954" s="141"/>
      <c r="F1954" s="141"/>
      <c r="G1954" s="141"/>
      <c r="H1954" s="141"/>
      <c r="J1954" s="141">
        <f t="shared" si="61"/>
        <v>0.53500000000000003</v>
      </c>
      <c r="K1954" s="141">
        <f t="shared" si="62"/>
        <v>61911.120000000061</v>
      </c>
    </row>
    <row r="1955" spans="1:11">
      <c r="A1955" s="141">
        <v>1955</v>
      </c>
      <c r="B1955" s="142">
        <v>44048</v>
      </c>
      <c r="C1955" s="149">
        <v>17.7</v>
      </c>
      <c r="D1955" s="141">
        <v>21122.599999999977</v>
      </c>
      <c r="E1955" s="141"/>
      <c r="F1955" s="141"/>
      <c r="G1955" s="141"/>
      <c r="H1955" s="141"/>
      <c r="J1955" s="141">
        <f t="shared" si="61"/>
        <v>0.25</v>
      </c>
      <c r="K1955" s="141">
        <f t="shared" si="62"/>
        <v>61917.120000000061</v>
      </c>
    </row>
    <row r="1956" spans="1:11">
      <c r="A1956" s="141">
        <v>1956</v>
      </c>
      <c r="B1956" s="142">
        <v>44049</v>
      </c>
      <c r="C1956" s="149">
        <v>20.3</v>
      </c>
      <c r="D1956" s="141">
        <v>21142.899999999976</v>
      </c>
      <c r="E1956" s="141"/>
      <c r="F1956" s="141"/>
      <c r="G1956" s="141"/>
      <c r="H1956" s="141"/>
      <c r="J1956" s="141">
        <f t="shared" si="61"/>
        <v>0.25</v>
      </c>
      <c r="K1956" s="141">
        <f t="shared" si="62"/>
        <v>61923.120000000061</v>
      </c>
    </row>
    <row r="1957" spans="1:11">
      <c r="A1957" s="141">
        <v>1957</v>
      </c>
      <c r="B1957" s="142">
        <v>44050</v>
      </c>
      <c r="C1957" s="149">
        <v>23.2</v>
      </c>
      <c r="D1957" s="141">
        <v>21166.099999999977</v>
      </c>
      <c r="E1957" s="141"/>
      <c r="F1957" s="141"/>
      <c r="G1957" s="141"/>
      <c r="H1957" s="141"/>
      <c r="J1957" s="141">
        <f t="shared" si="61"/>
        <v>0.25</v>
      </c>
      <c r="K1957" s="141">
        <f t="shared" si="62"/>
        <v>61929.120000000061</v>
      </c>
    </row>
    <row r="1958" spans="1:11">
      <c r="A1958" s="141">
        <v>1958</v>
      </c>
      <c r="B1958" s="142">
        <v>44051</v>
      </c>
      <c r="C1958" s="149">
        <v>24.4</v>
      </c>
      <c r="D1958" s="141">
        <v>21190.499999999978</v>
      </c>
      <c r="E1958" s="141"/>
      <c r="F1958" s="141"/>
      <c r="G1958" s="141"/>
      <c r="H1958" s="141"/>
      <c r="J1958" s="141">
        <f t="shared" si="61"/>
        <v>0.25</v>
      </c>
      <c r="K1958" s="141">
        <f t="shared" si="62"/>
        <v>61935.120000000061</v>
      </c>
    </row>
    <row r="1959" spans="1:11">
      <c r="A1959" s="141">
        <v>1959</v>
      </c>
      <c r="B1959" s="142">
        <v>44052</v>
      </c>
      <c r="C1959" s="149">
        <v>24.8</v>
      </c>
      <c r="D1959" s="141">
        <v>21215.299999999977</v>
      </c>
      <c r="E1959" s="141"/>
      <c r="F1959" s="141"/>
      <c r="G1959" s="141"/>
      <c r="H1959" s="141"/>
      <c r="J1959" s="141">
        <f t="shared" si="61"/>
        <v>0.25</v>
      </c>
      <c r="K1959" s="141">
        <f t="shared" si="62"/>
        <v>61941.120000000061</v>
      </c>
    </row>
    <row r="1960" spans="1:11">
      <c r="A1960" s="141">
        <v>1960</v>
      </c>
      <c r="B1960" s="142">
        <v>44053</v>
      </c>
      <c r="C1960" s="149">
        <v>22.7</v>
      </c>
      <c r="D1960" s="141">
        <v>21237.999999999978</v>
      </c>
      <c r="E1960" s="141"/>
      <c r="F1960" s="141"/>
      <c r="G1960" s="141"/>
      <c r="H1960" s="141"/>
      <c r="J1960" s="141">
        <f t="shared" si="61"/>
        <v>0.25</v>
      </c>
      <c r="K1960" s="141">
        <f t="shared" si="62"/>
        <v>61947.120000000061</v>
      </c>
    </row>
    <row r="1961" spans="1:11">
      <c r="A1961" s="141">
        <v>1961</v>
      </c>
      <c r="B1961" s="142">
        <v>44054</v>
      </c>
      <c r="C1961" s="149">
        <v>22.9</v>
      </c>
      <c r="D1961" s="141">
        <v>21260.89999999998</v>
      </c>
      <c r="E1961" s="141"/>
      <c r="F1961" s="141"/>
      <c r="G1961" s="141"/>
      <c r="H1961" s="141"/>
      <c r="J1961" s="141">
        <f t="shared" si="61"/>
        <v>0.25</v>
      </c>
      <c r="K1961" s="141">
        <f t="shared" si="62"/>
        <v>61953.120000000061</v>
      </c>
    </row>
    <row r="1962" spans="1:11">
      <c r="A1962" s="141">
        <v>1962</v>
      </c>
      <c r="B1962" s="142">
        <v>44055</v>
      </c>
      <c r="C1962" s="149">
        <v>23.8</v>
      </c>
      <c r="D1962" s="141">
        <v>21284.699999999979</v>
      </c>
      <c r="E1962" s="141"/>
      <c r="F1962" s="141"/>
      <c r="G1962" s="141"/>
      <c r="H1962" s="141"/>
      <c r="J1962" s="141">
        <f t="shared" si="61"/>
        <v>0.25</v>
      </c>
      <c r="K1962" s="141">
        <f t="shared" si="62"/>
        <v>61959.120000000061</v>
      </c>
    </row>
    <row r="1963" spans="1:11">
      <c r="A1963" s="141">
        <v>1963</v>
      </c>
      <c r="B1963" s="142">
        <v>44056</v>
      </c>
      <c r="C1963" s="149">
        <v>24.3</v>
      </c>
      <c r="D1963" s="141">
        <v>21308.999999999978</v>
      </c>
      <c r="E1963" s="141"/>
      <c r="F1963" s="141"/>
      <c r="G1963" s="141"/>
      <c r="H1963" s="141"/>
      <c r="J1963" s="141">
        <f t="shared" si="61"/>
        <v>0.25</v>
      </c>
      <c r="K1963" s="141">
        <f t="shared" si="62"/>
        <v>61965.120000000061</v>
      </c>
    </row>
    <row r="1964" spans="1:11">
      <c r="A1964" s="141">
        <v>1964</v>
      </c>
      <c r="B1964" s="142">
        <v>44057</v>
      </c>
      <c r="C1964" s="149">
        <v>21.9</v>
      </c>
      <c r="D1964" s="141">
        <v>21330.89999999998</v>
      </c>
      <c r="E1964" s="141"/>
      <c r="F1964" s="141"/>
      <c r="G1964" s="141"/>
      <c r="H1964" s="141"/>
      <c r="J1964" s="141">
        <f t="shared" si="61"/>
        <v>0.25</v>
      </c>
      <c r="K1964" s="141">
        <f t="shared" si="62"/>
        <v>61971.120000000061</v>
      </c>
    </row>
    <row r="1965" spans="1:11">
      <c r="A1965" s="141">
        <v>1965</v>
      </c>
      <c r="B1965" s="142">
        <v>44058</v>
      </c>
      <c r="C1965" s="149">
        <v>20.7</v>
      </c>
      <c r="D1965" s="141">
        <v>21351.59999999998</v>
      </c>
      <c r="E1965" s="141"/>
      <c r="F1965" s="141"/>
      <c r="G1965" s="141"/>
      <c r="H1965" s="141"/>
      <c r="J1965" s="141">
        <f t="shared" si="61"/>
        <v>0.25</v>
      </c>
      <c r="K1965" s="141">
        <f t="shared" si="62"/>
        <v>61977.120000000061</v>
      </c>
    </row>
    <row r="1966" spans="1:11">
      <c r="A1966" s="141">
        <v>1966</v>
      </c>
      <c r="B1966" s="142">
        <v>44059</v>
      </c>
      <c r="C1966" s="149">
        <v>21.9</v>
      </c>
      <c r="D1966" s="141">
        <v>21373.499999999982</v>
      </c>
      <c r="E1966" s="141"/>
      <c r="F1966" s="141"/>
      <c r="G1966" s="141"/>
      <c r="H1966" s="141"/>
      <c r="J1966" s="141">
        <f t="shared" si="61"/>
        <v>0.25</v>
      </c>
      <c r="K1966" s="141">
        <f t="shared" si="62"/>
        <v>61983.120000000061</v>
      </c>
    </row>
    <row r="1967" spans="1:11">
      <c r="A1967" s="141">
        <v>1967</v>
      </c>
      <c r="B1967" s="142">
        <v>44060</v>
      </c>
      <c r="C1967" s="149">
        <v>21.3</v>
      </c>
      <c r="D1967" s="141">
        <v>21394.799999999981</v>
      </c>
      <c r="E1967" s="141"/>
      <c r="F1967" s="141"/>
      <c r="G1967" s="141"/>
      <c r="H1967" s="141"/>
      <c r="J1967" s="141">
        <f t="shared" si="61"/>
        <v>0.25</v>
      </c>
      <c r="K1967" s="141">
        <f t="shared" si="62"/>
        <v>61989.120000000061</v>
      </c>
    </row>
    <row r="1968" spans="1:11">
      <c r="A1968" s="141">
        <v>1968</v>
      </c>
      <c r="B1968" s="142">
        <v>44061</v>
      </c>
      <c r="C1968" s="149">
        <v>19.5</v>
      </c>
      <c r="D1968" s="141">
        <v>21414.299999999981</v>
      </c>
      <c r="E1968" s="141"/>
      <c r="F1968" s="141"/>
      <c r="G1968" s="141"/>
      <c r="H1968" s="141"/>
      <c r="J1968" s="141">
        <f t="shared" si="61"/>
        <v>0.25</v>
      </c>
      <c r="K1968" s="141">
        <f t="shared" si="62"/>
        <v>61995.120000000061</v>
      </c>
    </row>
    <row r="1969" spans="1:11">
      <c r="A1969" s="141">
        <v>1969</v>
      </c>
      <c r="B1969" s="142">
        <v>44062</v>
      </c>
      <c r="C1969" s="149">
        <v>19.899999999999999</v>
      </c>
      <c r="D1969" s="141">
        <v>21434.199999999983</v>
      </c>
      <c r="E1969" s="141"/>
      <c r="F1969" s="141"/>
      <c r="G1969" s="141"/>
      <c r="H1969" s="141"/>
      <c r="J1969" s="141">
        <f t="shared" si="61"/>
        <v>0.25</v>
      </c>
      <c r="K1969" s="141">
        <f t="shared" si="62"/>
        <v>62001.120000000061</v>
      </c>
    </row>
    <row r="1970" spans="1:11">
      <c r="A1970" s="141">
        <v>1970</v>
      </c>
      <c r="B1970" s="142">
        <v>44063</v>
      </c>
      <c r="C1970" s="149">
        <v>21.9</v>
      </c>
      <c r="D1970" s="141">
        <v>21456.099999999984</v>
      </c>
      <c r="E1970" s="141"/>
      <c r="F1970" s="141"/>
      <c r="G1970" s="141"/>
      <c r="H1970" s="141"/>
      <c r="J1970" s="141">
        <f t="shared" si="61"/>
        <v>0.25</v>
      </c>
      <c r="K1970" s="141">
        <f t="shared" si="62"/>
        <v>62007.120000000061</v>
      </c>
    </row>
    <row r="1971" spans="1:11">
      <c r="A1971" s="141">
        <v>1971</v>
      </c>
      <c r="B1971" s="142">
        <v>44064</v>
      </c>
      <c r="C1971" s="149">
        <v>24.6</v>
      </c>
      <c r="D1971" s="141">
        <v>21480.699999999983</v>
      </c>
      <c r="E1971" s="141"/>
      <c r="F1971" s="141"/>
      <c r="G1971" s="141"/>
      <c r="H1971" s="141"/>
      <c r="J1971" s="141">
        <f t="shared" si="61"/>
        <v>0.25</v>
      </c>
      <c r="K1971" s="141">
        <f t="shared" si="62"/>
        <v>62013.120000000061</v>
      </c>
    </row>
    <row r="1972" spans="1:11">
      <c r="A1972" s="141">
        <v>1972</v>
      </c>
      <c r="B1972" s="142">
        <v>44065</v>
      </c>
      <c r="C1972" s="149">
        <v>22</v>
      </c>
      <c r="D1972" s="141">
        <v>21502.699999999983</v>
      </c>
      <c r="E1972" s="141"/>
      <c r="F1972" s="141"/>
      <c r="G1972" s="141"/>
      <c r="H1972" s="141"/>
      <c r="J1972" s="141">
        <f t="shared" si="61"/>
        <v>0.25</v>
      </c>
      <c r="K1972" s="141">
        <f t="shared" si="62"/>
        <v>62019.120000000061</v>
      </c>
    </row>
    <row r="1973" spans="1:11">
      <c r="A1973" s="141">
        <v>1973</v>
      </c>
      <c r="B1973" s="142">
        <v>44066</v>
      </c>
      <c r="C1973" s="149">
        <v>19.399999999999999</v>
      </c>
      <c r="D1973" s="141">
        <v>21522.099999999984</v>
      </c>
      <c r="E1973" s="141"/>
      <c r="F1973" s="141"/>
      <c r="G1973" s="141"/>
      <c r="H1973" s="141"/>
      <c r="J1973" s="141">
        <f t="shared" si="61"/>
        <v>0.25</v>
      </c>
      <c r="K1973" s="141">
        <f t="shared" si="62"/>
        <v>62025.120000000061</v>
      </c>
    </row>
    <row r="1974" spans="1:11">
      <c r="A1974" s="141">
        <v>1974</v>
      </c>
      <c r="B1974" s="142">
        <v>44067</v>
      </c>
      <c r="C1974" s="149">
        <v>18</v>
      </c>
      <c r="D1974" s="141">
        <v>21540.099999999984</v>
      </c>
      <c r="E1974" s="141"/>
      <c r="F1974" s="141"/>
      <c r="G1974" s="141"/>
      <c r="H1974" s="141"/>
      <c r="J1974" s="141">
        <f t="shared" si="61"/>
        <v>0.25</v>
      </c>
      <c r="K1974" s="141">
        <f t="shared" si="62"/>
        <v>62031.120000000061</v>
      </c>
    </row>
    <row r="1975" spans="1:11">
      <c r="A1975" s="141">
        <v>1975</v>
      </c>
      <c r="B1975" s="142">
        <v>44068</v>
      </c>
      <c r="C1975" s="149">
        <v>18.100000000000001</v>
      </c>
      <c r="D1975" s="141">
        <v>21558.199999999983</v>
      </c>
      <c r="E1975" s="141"/>
      <c r="F1975" s="141"/>
      <c r="G1975" s="141"/>
      <c r="H1975" s="141"/>
      <c r="J1975" s="141">
        <f t="shared" si="61"/>
        <v>0.25</v>
      </c>
      <c r="K1975" s="141">
        <f t="shared" si="62"/>
        <v>62037.120000000061</v>
      </c>
    </row>
    <row r="1976" spans="1:11">
      <c r="A1976" s="141">
        <v>1976</v>
      </c>
      <c r="B1976" s="142">
        <v>44069</v>
      </c>
      <c r="C1976" s="149">
        <v>21.6</v>
      </c>
      <c r="D1976" s="141">
        <v>21579.799999999981</v>
      </c>
      <c r="E1976" s="141"/>
      <c r="F1976" s="141"/>
      <c r="G1976" s="141"/>
      <c r="H1976" s="141"/>
      <c r="J1976" s="141">
        <f t="shared" si="61"/>
        <v>0.25</v>
      </c>
      <c r="K1976" s="141">
        <f t="shared" si="62"/>
        <v>62043.120000000061</v>
      </c>
    </row>
    <row r="1977" spans="1:11">
      <c r="A1977" s="141">
        <v>1977</v>
      </c>
      <c r="B1977" s="142">
        <v>44070</v>
      </c>
      <c r="C1977" s="149">
        <v>18</v>
      </c>
      <c r="D1977" s="141">
        <v>21597.799999999981</v>
      </c>
      <c r="E1977" s="141"/>
      <c r="F1977" s="141"/>
      <c r="G1977" s="141"/>
      <c r="H1977" s="141"/>
      <c r="J1977" s="141">
        <f t="shared" si="61"/>
        <v>0.25</v>
      </c>
      <c r="K1977" s="141">
        <f t="shared" si="62"/>
        <v>62049.120000000061</v>
      </c>
    </row>
    <row r="1978" spans="1:11">
      <c r="A1978" s="141">
        <v>1978</v>
      </c>
      <c r="B1978" s="142">
        <v>44071</v>
      </c>
      <c r="C1978" s="149">
        <v>17.7</v>
      </c>
      <c r="D1978" s="141">
        <v>21615.499999999982</v>
      </c>
      <c r="E1978" s="141"/>
      <c r="F1978" s="141"/>
      <c r="G1978" s="141"/>
      <c r="H1978" s="141"/>
      <c r="J1978" s="141">
        <f t="shared" si="61"/>
        <v>0.25</v>
      </c>
      <c r="K1978" s="141">
        <f t="shared" si="62"/>
        <v>62055.120000000061</v>
      </c>
    </row>
    <row r="1979" spans="1:11">
      <c r="A1979" s="141">
        <v>1979</v>
      </c>
      <c r="B1979" s="142">
        <v>44072</v>
      </c>
      <c r="C1979" s="149">
        <v>17.3</v>
      </c>
      <c r="D1979" s="141">
        <v>21632.799999999981</v>
      </c>
      <c r="E1979" s="141"/>
      <c r="F1979" s="141"/>
      <c r="G1979" s="141"/>
      <c r="H1979" s="141"/>
      <c r="J1979" s="141">
        <f t="shared" si="61"/>
        <v>0.25</v>
      </c>
      <c r="K1979" s="141">
        <f t="shared" si="62"/>
        <v>62061.120000000061</v>
      </c>
    </row>
    <row r="1980" spans="1:11">
      <c r="A1980" s="141">
        <v>1980</v>
      </c>
      <c r="B1980" s="142">
        <v>44073</v>
      </c>
      <c r="C1980" s="149">
        <v>16.5</v>
      </c>
      <c r="D1980" s="141">
        <v>21649.299999999981</v>
      </c>
      <c r="E1980" s="141"/>
      <c r="F1980" s="141"/>
      <c r="G1980" s="141"/>
      <c r="H1980" s="141"/>
      <c r="J1980" s="141">
        <f t="shared" si="61"/>
        <v>0.32500000000000001</v>
      </c>
      <c r="K1980" s="141">
        <f t="shared" si="62"/>
        <v>62068.920000000064</v>
      </c>
    </row>
    <row r="1981" spans="1:11">
      <c r="A1981" s="141">
        <v>1981</v>
      </c>
      <c r="B1981" s="142">
        <v>44074</v>
      </c>
      <c r="C1981" s="149">
        <v>15.7</v>
      </c>
      <c r="D1981" s="141">
        <v>21664.999999999982</v>
      </c>
      <c r="E1981" s="141"/>
      <c r="F1981" s="141"/>
      <c r="G1981" s="141"/>
      <c r="H1981" s="141"/>
      <c r="J1981" s="141">
        <f t="shared" si="61"/>
        <v>0.44500000000000012</v>
      </c>
      <c r="K1981" s="141">
        <f t="shared" si="62"/>
        <v>62079.600000000064</v>
      </c>
    </row>
    <row r="1982" spans="1:11">
      <c r="A1982" s="141">
        <v>1982</v>
      </c>
      <c r="B1982" s="142">
        <v>44075</v>
      </c>
      <c r="C1982" s="149">
        <v>13.8</v>
      </c>
      <c r="D1982" s="141">
        <v>21678.799999999981</v>
      </c>
      <c r="E1982" s="141"/>
      <c r="F1982" s="141"/>
      <c r="G1982" s="141"/>
      <c r="H1982" s="141"/>
      <c r="J1982" s="141">
        <f t="shared" si="61"/>
        <v>0.72999999999999987</v>
      </c>
      <c r="K1982" s="141">
        <f t="shared" si="62"/>
        <v>62097.120000000061</v>
      </c>
    </row>
    <row r="1983" spans="1:11">
      <c r="A1983" s="141">
        <v>1983</v>
      </c>
      <c r="B1983" s="142">
        <v>44076</v>
      </c>
      <c r="C1983" s="149">
        <v>14</v>
      </c>
      <c r="D1983" s="141">
        <v>21692.799999999981</v>
      </c>
      <c r="E1983" s="141"/>
      <c r="F1983" s="141"/>
      <c r="G1983" s="141"/>
      <c r="H1983" s="141"/>
      <c r="J1983" s="141">
        <f t="shared" si="61"/>
        <v>0.7</v>
      </c>
      <c r="K1983" s="141">
        <f t="shared" si="62"/>
        <v>62113.920000000064</v>
      </c>
    </row>
    <row r="1984" spans="1:11">
      <c r="A1984" s="141">
        <v>1984</v>
      </c>
      <c r="B1984" s="142">
        <v>44077</v>
      </c>
      <c r="C1984" s="149">
        <v>16.2</v>
      </c>
      <c r="D1984" s="141">
        <v>21708.999999999982</v>
      </c>
      <c r="E1984" s="141"/>
      <c r="F1984" s="141"/>
      <c r="G1984" s="141"/>
      <c r="H1984" s="141"/>
      <c r="J1984" s="141">
        <f t="shared" si="61"/>
        <v>0.37000000000000011</v>
      </c>
      <c r="K1984" s="141">
        <f t="shared" si="62"/>
        <v>62122.800000000061</v>
      </c>
    </row>
    <row r="1985" spans="1:11">
      <c r="A1985" s="141">
        <v>1985</v>
      </c>
      <c r="B1985" s="142">
        <v>44078</v>
      </c>
      <c r="C1985" s="149">
        <v>20.100000000000001</v>
      </c>
      <c r="D1985" s="141">
        <v>21729.09999999998</v>
      </c>
      <c r="E1985" s="141"/>
      <c r="F1985" s="141"/>
      <c r="G1985" s="141"/>
      <c r="H1985" s="141"/>
      <c r="J1985" s="141">
        <f t="shared" si="61"/>
        <v>0.25</v>
      </c>
      <c r="K1985" s="141">
        <f t="shared" si="62"/>
        <v>62128.800000000061</v>
      </c>
    </row>
    <row r="1986" spans="1:11">
      <c r="A1986" s="141">
        <v>1986</v>
      </c>
      <c r="B1986" s="142">
        <v>44079</v>
      </c>
      <c r="C1986" s="149">
        <v>19.899999999999999</v>
      </c>
      <c r="D1986" s="141">
        <v>21748.999999999982</v>
      </c>
      <c r="E1986" s="141"/>
      <c r="F1986" s="141"/>
      <c r="G1986" s="141"/>
      <c r="H1986" s="141"/>
      <c r="J1986" s="141">
        <f t="shared" si="61"/>
        <v>0.25</v>
      </c>
      <c r="K1986" s="141">
        <f t="shared" si="62"/>
        <v>62134.800000000061</v>
      </c>
    </row>
    <row r="1987" spans="1:11">
      <c r="A1987" s="141">
        <v>1987</v>
      </c>
      <c r="B1987" s="142">
        <v>44080</v>
      </c>
      <c r="C1987" s="149">
        <v>15.7</v>
      </c>
      <c r="D1987" s="141">
        <v>21764.699999999983</v>
      </c>
      <c r="E1987" s="141"/>
      <c r="F1987" s="141"/>
      <c r="G1987" s="141"/>
      <c r="H1987" s="141"/>
      <c r="J1987" s="141">
        <f t="shared" si="61"/>
        <v>0.44500000000000012</v>
      </c>
      <c r="K1987" s="141">
        <f t="shared" si="62"/>
        <v>62145.480000000061</v>
      </c>
    </row>
    <row r="1988" spans="1:11">
      <c r="A1988" s="141">
        <v>1988</v>
      </c>
      <c r="B1988" s="142">
        <v>44081</v>
      </c>
      <c r="C1988" s="149">
        <v>15.3</v>
      </c>
      <c r="D1988" s="141">
        <v>21779.999999999982</v>
      </c>
      <c r="E1988" s="141"/>
      <c r="F1988" s="141"/>
      <c r="G1988" s="141"/>
      <c r="H1988" s="141"/>
      <c r="J1988" s="141">
        <f t="shared" si="61"/>
        <v>0.50499999999999989</v>
      </c>
      <c r="K1988" s="141">
        <f t="shared" si="62"/>
        <v>62157.600000000064</v>
      </c>
    </row>
    <row r="1989" spans="1:11">
      <c r="A1989" s="141">
        <v>1989</v>
      </c>
      <c r="B1989" s="142">
        <v>44082</v>
      </c>
      <c r="C1989" s="149">
        <v>16.100000000000001</v>
      </c>
      <c r="D1989" s="141">
        <v>21796.09999999998</v>
      </c>
      <c r="E1989" s="141"/>
      <c r="F1989" s="141"/>
      <c r="G1989" s="141"/>
      <c r="H1989" s="141"/>
      <c r="J1989" s="141">
        <f t="shared" si="61"/>
        <v>0.38499999999999979</v>
      </c>
      <c r="K1989" s="141">
        <f t="shared" si="62"/>
        <v>62166.840000000062</v>
      </c>
    </row>
    <row r="1990" spans="1:11">
      <c r="A1990" s="141">
        <v>1990</v>
      </c>
      <c r="B1990" s="142">
        <v>44083</v>
      </c>
      <c r="C1990" s="149">
        <v>18.8</v>
      </c>
      <c r="D1990" s="141">
        <v>21814.89999999998</v>
      </c>
      <c r="E1990" s="141"/>
      <c r="F1990" s="141"/>
      <c r="G1990" s="141"/>
      <c r="H1990" s="141"/>
      <c r="J1990" s="141">
        <f t="shared" si="61"/>
        <v>0.25</v>
      </c>
      <c r="K1990" s="141">
        <f t="shared" si="62"/>
        <v>62172.840000000062</v>
      </c>
    </row>
    <row r="1991" spans="1:11">
      <c r="A1991" s="141">
        <v>1991</v>
      </c>
      <c r="B1991" s="142">
        <v>44084</v>
      </c>
      <c r="C1991" s="149">
        <v>16.5</v>
      </c>
      <c r="D1991" s="141">
        <v>21831.39999999998</v>
      </c>
      <c r="E1991" s="141"/>
      <c r="F1991" s="141"/>
      <c r="G1991" s="141"/>
      <c r="H1991" s="141"/>
      <c r="J1991" s="141">
        <f t="shared" ref="J1991:J2054" si="63">J$1+(IF(J$3-$C1991&gt;0,J$3-$C1991,0)*J$2/30)</f>
        <v>0.32500000000000001</v>
      </c>
      <c r="K1991" s="141">
        <f t="shared" ref="K1991:K2054" si="64">K1990+J1991*24</f>
        <v>62180.640000000065</v>
      </c>
    </row>
    <row r="1992" spans="1:11">
      <c r="A1992" s="141">
        <v>1992</v>
      </c>
      <c r="B1992" s="142">
        <v>44085</v>
      </c>
      <c r="C1992" s="149">
        <v>16.100000000000001</v>
      </c>
      <c r="D1992" s="141">
        <v>21847.499999999978</v>
      </c>
      <c r="E1992" s="141"/>
      <c r="F1992" s="141"/>
      <c r="G1992" s="141"/>
      <c r="H1992" s="141"/>
      <c r="J1992" s="141">
        <f t="shared" si="63"/>
        <v>0.38499999999999979</v>
      </c>
      <c r="K1992" s="141">
        <f t="shared" si="64"/>
        <v>62189.880000000063</v>
      </c>
    </row>
    <row r="1993" spans="1:11">
      <c r="A1993" s="141">
        <v>1993</v>
      </c>
      <c r="B1993" s="142">
        <v>44086</v>
      </c>
      <c r="C1993" s="149">
        <v>18.399999999999999</v>
      </c>
      <c r="D1993" s="141">
        <v>21865.89999999998</v>
      </c>
      <c r="E1993" s="141"/>
      <c r="F1993" s="141"/>
      <c r="G1993" s="141"/>
      <c r="H1993" s="141"/>
      <c r="J1993" s="141">
        <f t="shared" si="63"/>
        <v>0.25</v>
      </c>
      <c r="K1993" s="141">
        <f t="shared" si="64"/>
        <v>62195.880000000063</v>
      </c>
    </row>
    <row r="1994" spans="1:11">
      <c r="A1994" s="141">
        <v>1994</v>
      </c>
      <c r="B1994" s="142">
        <v>44087</v>
      </c>
      <c r="C1994" s="149">
        <v>19.8</v>
      </c>
      <c r="D1994" s="141">
        <v>21885.699999999979</v>
      </c>
      <c r="E1994" s="141"/>
      <c r="F1994" s="141"/>
      <c r="G1994" s="141"/>
      <c r="H1994" s="141"/>
      <c r="J1994" s="141">
        <f t="shared" si="63"/>
        <v>0.25</v>
      </c>
      <c r="K1994" s="141">
        <f t="shared" si="64"/>
        <v>62201.880000000063</v>
      </c>
    </row>
    <row r="1995" spans="1:11">
      <c r="A1995" s="141">
        <v>1995</v>
      </c>
      <c r="B1995" s="142">
        <v>44088</v>
      </c>
      <c r="C1995" s="149">
        <v>20.9</v>
      </c>
      <c r="D1995" s="141">
        <v>21906.59999999998</v>
      </c>
      <c r="E1995" s="141"/>
      <c r="F1995" s="141"/>
      <c r="G1995" s="141"/>
      <c r="H1995" s="141"/>
      <c r="J1995" s="141">
        <f t="shared" si="63"/>
        <v>0.25</v>
      </c>
      <c r="K1995" s="141">
        <f t="shared" si="64"/>
        <v>62207.880000000063</v>
      </c>
    </row>
    <row r="1996" spans="1:11">
      <c r="A1996" s="141">
        <v>1996</v>
      </c>
      <c r="B1996" s="142">
        <v>44089</v>
      </c>
      <c r="C1996" s="149">
        <v>22.1</v>
      </c>
      <c r="D1996" s="141">
        <v>21928.699999999979</v>
      </c>
      <c r="E1996" s="141"/>
      <c r="F1996" s="141"/>
      <c r="G1996" s="141"/>
      <c r="H1996" s="141"/>
      <c r="J1996" s="141">
        <f t="shared" si="63"/>
        <v>0.25</v>
      </c>
      <c r="K1996" s="141">
        <f t="shared" si="64"/>
        <v>62213.880000000063</v>
      </c>
    </row>
    <row r="1997" spans="1:11">
      <c r="A1997" s="141">
        <v>1997</v>
      </c>
      <c r="B1997" s="142">
        <v>44090</v>
      </c>
      <c r="C1997" s="149">
        <v>21.5</v>
      </c>
      <c r="D1997" s="141">
        <v>21950.199999999979</v>
      </c>
      <c r="E1997" s="141"/>
      <c r="F1997" s="141"/>
      <c r="G1997" s="141"/>
      <c r="H1997" s="141"/>
      <c r="J1997" s="141">
        <f t="shared" si="63"/>
        <v>0.25</v>
      </c>
      <c r="K1997" s="141">
        <f t="shared" si="64"/>
        <v>62219.880000000063</v>
      </c>
    </row>
    <row r="1998" spans="1:11">
      <c r="A1998" s="141">
        <v>1998</v>
      </c>
      <c r="B1998" s="142">
        <v>44091</v>
      </c>
      <c r="C1998" s="149">
        <v>17</v>
      </c>
      <c r="D1998" s="141">
        <v>21967.199999999979</v>
      </c>
      <c r="E1998" s="141"/>
      <c r="F1998" s="141"/>
      <c r="G1998" s="141"/>
      <c r="H1998" s="141"/>
      <c r="J1998" s="141">
        <f t="shared" si="63"/>
        <v>0.25</v>
      </c>
      <c r="K1998" s="141">
        <f t="shared" si="64"/>
        <v>62225.880000000063</v>
      </c>
    </row>
    <row r="1999" spans="1:11">
      <c r="A1999" s="141">
        <v>1999</v>
      </c>
      <c r="B1999" s="142">
        <v>44092</v>
      </c>
      <c r="C1999" s="149">
        <v>12.5</v>
      </c>
      <c r="D1999" s="141">
        <v>21979.699999999979</v>
      </c>
      <c r="E1999" s="141"/>
      <c r="F1999" s="141"/>
      <c r="G1999" s="141"/>
      <c r="H1999" s="141"/>
      <c r="J1999" s="141">
        <f t="shared" si="63"/>
        <v>0.92500000000000004</v>
      </c>
      <c r="K1999" s="141">
        <f t="shared" si="64"/>
        <v>62248.08000000006</v>
      </c>
    </row>
    <row r="2000" spans="1:11">
      <c r="A2000" s="141">
        <v>2000</v>
      </c>
      <c r="B2000" s="142">
        <v>44093</v>
      </c>
      <c r="C2000" s="149">
        <v>13.3</v>
      </c>
      <c r="D2000" s="141">
        <v>21992.999999999978</v>
      </c>
      <c r="E2000" s="141"/>
      <c r="F2000" s="141"/>
      <c r="G2000" s="141"/>
      <c r="H2000" s="141"/>
      <c r="J2000" s="141">
        <f t="shared" si="63"/>
        <v>0.80499999999999994</v>
      </c>
      <c r="K2000" s="141">
        <f t="shared" si="64"/>
        <v>62267.40000000006</v>
      </c>
    </row>
    <row r="2001" spans="1:11">
      <c r="A2001" s="141">
        <v>2001</v>
      </c>
      <c r="B2001" s="142">
        <v>44094</v>
      </c>
      <c r="C2001" s="149">
        <v>15.5</v>
      </c>
      <c r="D2001" s="141">
        <v>22008.499999999978</v>
      </c>
      <c r="E2001" s="141"/>
      <c r="F2001" s="141"/>
      <c r="G2001" s="141"/>
      <c r="H2001" s="141"/>
      <c r="J2001" s="141">
        <f t="shared" si="63"/>
        <v>0.47499999999999998</v>
      </c>
      <c r="K2001" s="141">
        <f t="shared" si="64"/>
        <v>62278.800000000061</v>
      </c>
    </row>
    <row r="2002" spans="1:11">
      <c r="A2002" s="141">
        <v>2002</v>
      </c>
      <c r="B2002" s="142">
        <v>44095</v>
      </c>
      <c r="C2002" s="149">
        <v>16.399999999999999</v>
      </c>
      <c r="D2002" s="141">
        <v>22024.89999999998</v>
      </c>
      <c r="E2002" s="141"/>
      <c r="F2002" s="141"/>
      <c r="G2002" s="141"/>
      <c r="H2002" s="141"/>
      <c r="J2002" s="141">
        <f t="shared" si="63"/>
        <v>0.34000000000000019</v>
      </c>
      <c r="K2002" s="141">
        <f t="shared" si="64"/>
        <v>62286.960000000065</v>
      </c>
    </row>
    <row r="2003" spans="1:11">
      <c r="A2003" s="141">
        <v>2003</v>
      </c>
      <c r="B2003" s="142">
        <v>44096</v>
      </c>
      <c r="C2003" s="149">
        <v>17.8</v>
      </c>
      <c r="D2003" s="141">
        <v>22042.699999999979</v>
      </c>
      <c r="E2003" s="141"/>
      <c r="F2003" s="141"/>
      <c r="G2003" s="141"/>
      <c r="H2003" s="141"/>
      <c r="J2003" s="141">
        <f t="shared" si="63"/>
        <v>0.25</v>
      </c>
      <c r="K2003" s="141">
        <f t="shared" si="64"/>
        <v>62292.960000000065</v>
      </c>
    </row>
    <row r="2004" spans="1:11">
      <c r="A2004" s="141">
        <v>2004</v>
      </c>
      <c r="B2004" s="142">
        <v>44097</v>
      </c>
      <c r="C2004" s="149">
        <v>18</v>
      </c>
      <c r="D2004" s="141">
        <v>22060.699999999979</v>
      </c>
      <c r="E2004" s="141"/>
      <c r="F2004" s="141"/>
      <c r="G2004" s="141"/>
      <c r="H2004" s="141"/>
      <c r="J2004" s="141">
        <f t="shared" si="63"/>
        <v>0.25</v>
      </c>
      <c r="K2004" s="141">
        <f t="shared" si="64"/>
        <v>62298.960000000065</v>
      </c>
    </row>
    <row r="2005" spans="1:11">
      <c r="A2005" s="141">
        <v>2005</v>
      </c>
      <c r="B2005" s="142">
        <v>44098</v>
      </c>
      <c r="C2005" s="149">
        <v>17.8</v>
      </c>
      <c r="D2005" s="141">
        <v>22078.499999999978</v>
      </c>
      <c r="E2005" s="141"/>
      <c r="F2005" s="141"/>
      <c r="G2005" s="141"/>
      <c r="H2005" s="141"/>
      <c r="J2005" s="141">
        <f t="shared" si="63"/>
        <v>0.25</v>
      </c>
      <c r="K2005" s="141">
        <f t="shared" si="64"/>
        <v>62304.960000000065</v>
      </c>
    </row>
    <row r="2006" spans="1:11">
      <c r="A2006" s="141">
        <v>2006</v>
      </c>
      <c r="B2006" s="142">
        <v>44099</v>
      </c>
      <c r="C2006" s="149">
        <v>13.2</v>
      </c>
      <c r="D2006" s="141">
        <v>22091.699999999979</v>
      </c>
      <c r="E2006" s="141"/>
      <c r="F2006" s="141"/>
      <c r="G2006" s="141"/>
      <c r="H2006" s="141"/>
      <c r="J2006" s="141">
        <f t="shared" si="63"/>
        <v>0.82000000000000006</v>
      </c>
      <c r="K2006" s="141">
        <f t="shared" si="64"/>
        <v>62324.640000000065</v>
      </c>
    </row>
    <row r="2007" spans="1:11">
      <c r="A2007" s="141">
        <v>2007</v>
      </c>
      <c r="B2007" s="142">
        <v>44100</v>
      </c>
      <c r="C2007" s="149">
        <v>7.3000000000000007</v>
      </c>
      <c r="D2007" s="141">
        <v>22098.999999999978</v>
      </c>
      <c r="E2007" s="141"/>
      <c r="F2007" s="141"/>
      <c r="G2007" s="141"/>
      <c r="H2007" s="141"/>
      <c r="J2007" s="141">
        <f t="shared" si="63"/>
        <v>1.7049999999999998</v>
      </c>
      <c r="K2007" s="141">
        <f t="shared" si="64"/>
        <v>62365.560000000063</v>
      </c>
    </row>
    <row r="2008" spans="1:11">
      <c r="A2008" s="141">
        <v>2008</v>
      </c>
      <c r="B2008" s="142">
        <v>44101</v>
      </c>
      <c r="C2008" s="149">
        <v>9.1000000000000014</v>
      </c>
      <c r="D2008" s="141">
        <v>22108.099999999977</v>
      </c>
      <c r="E2008" s="141"/>
      <c r="F2008" s="141"/>
      <c r="G2008" s="141"/>
      <c r="H2008" s="141"/>
      <c r="J2008" s="141">
        <f t="shared" si="63"/>
        <v>1.4349999999999998</v>
      </c>
      <c r="K2008" s="141">
        <f t="shared" si="64"/>
        <v>62400.000000000065</v>
      </c>
    </row>
    <row r="2009" spans="1:11">
      <c r="A2009" s="141">
        <v>2009</v>
      </c>
      <c r="B2009" s="142">
        <v>44102</v>
      </c>
      <c r="C2009" s="149">
        <v>7.3000000000000007</v>
      </c>
      <c r="D2009" s="141">
        <v>22115.399999999976</v>
      </c>
      <c r="E2009" s="141"/>
      <c r="F2009" s="141"/>
      <c r="G2009" s="141"/>
      <c r="H2009" s="141"/>
      <c r="J2009" s="141">
        <f t="shared" si="63"/>
        <v>1.7049999999999998</v>
      </c>
      <c r="K2009" s="141">
        <f t="shared" si="64"/>
        <v>62440.920000000064</v>
      </c>
    </row>
    <row r="2010" spans="1:11">
      <c r="A2010" s="141">
        <v>2010</v>
      </c>
      <c r="B2010" s="142">
        <v>44103</v>
      </c>
      <c r="C2010" s="149">
        <v>10.600000000000001</v>
      </c>
      <c r="D2010" s="141">
        <v>22125.999999999975</v>
      </c>
      <c r="E2010" s="141"/>
      <c r="F2010" s="141"/>
      <c r="G2010" s="141"/>
      <c r="H2010" s="141"/>
      <c r="J2010" s="141">
        <f t="shared" si="63"/>
        <v>1.2099999999999997</v>
      </c>
      <c r="K2010" s="141">
        <f t="shared" si="64"/>
        <v>62469.960000000065</v>
      </c>
    </row>
    <row r="2011" spans="1:11">
      <c r="A2011" s="141">
        <v>2011</v>
      </c>
      <c r="B2011" s="142">
        <v>44104</v>
      </c>
      <c r="C2011" s="149">
        <v>11.5</v>
      </c>
      <c r="D2011" s="141">
        <v>22137.499999999975</v>
      </c>
      <c r="E2011" s="141"/>
      <c r="F2011" s="141"/>
      <c r="G2011" s="141"/>
      <c r="H2011" s="141"/>
      <c r="J2011" s="141">
        <f t="shared" si="63"/>
        <v>1.075</v>
      </c>
      <c r="K2011" s="141">
        <f t="shared" si="64"/>
        <v>62495.760000000068</v>
      </c>
    </row>
    <row r="2012" spans="1:11">
      <c r="A2012" s="141">
        <v>2012</v>
      </c>
      <c r="B2012" s="142">
        <v>44105</v>
      </c>
      <c r="C2012" s="149">
        <v>12.100000000000001</v>
      </c>
      <c r="D2012" s="141">
        <v>22149.599999999973</v>
      </c>
      <c r="E2012" s="141"/>
      <c r="F2012" s="141"/>
      <c r="G2012" s="141"/>
      <c r="H2012" s="141"/>
      <c r="J2012" s="141">
        <f t="shared" si="63"/>
        <v>0.98499999999999976</v>
      </c>
      <c r="K2012" s="141">
        <f t="shared" si="64"/>
        <v>62519.400000000067</v>
      </c>
    </row>
    <row r="2013" spans="1:11">
      <c r="A2013" s="141">
        <v>2013</v>
      </c>
      <c r="B2013" s="142">
        <v>44106</v>
      </c>
      <c r="C2013" s="149">
        <v>13.100000000000001</v>
      </c>
      <c r="D2013" s="141">
        <v>22162.699999999972</v>
      </c>
      <c r="E2013" s="141"/>
      <c r="F2013" s="141"/>
      <c r="G2013" s="141"/>
      <c r="H2013" s="141"/>
      <c r="J2013" s="141">
        <f t="shared" si="63"/>
        <v>0.83499999999999974</v>
      </c>
      <c r="K2013" s="141">
        <f t="shared" si="64"/>
        <v>62539.440000000068</v>
      </c>
    </row>
    <row r="2014" spans="1:11">
      <c r="A2014" s="141">
        <v>2014</v>
      </c>
      <c r="B2014" s="142">
        <v>44107</v>
      </c>
      <c r="C2014" s="149">
        <v>17</v>
      </c>
      <c r="D2014" s="141">
        <v>22179.699999999972</v>
      </c>
      <c r="E2014" s="141"/>
      <c r="F2014" s="141"/>
      <c r="G2014" s="141"/>
      <c r="H2014" s="141"/>
      <c r="J2014" s="141">
        <f t="shared" si="63"/>
        <v>0.25</v>
      </c>
      <c r="K2014" s="141">
        <f t="shared" si="64"/>
        <v>62545.440000000068</v>
      </c>
    </row>
    <row r="2015" spans="1:11">
      <c r="A2015" s="141">
        <v>2015</v>
      </c>
      <c r="B2015" s="142">
        <v>44108</v>
      </c>
      <c r="C2015" s="149">
        <v>14.1</v>
      </c>
      <c r="D2015" s="141">
        <v>22193.79999999997</v>
      </c>
      <c r="E2015" s="141"/>
      <c r="F2015" s="141"/>
      <c r="G2015" s="141"/>
      <c r="H2015" s="141"/>
      <c r="J2015" s="141">
        <f t="shared" si="63"/>
        <v>0.68500000000000005</v>
      </c>
      <c r="K2015" s="141">
        <f t="shared" si="64"/>
        <v>62561.88000000007</v>
      </c>
    </row>
    <row r="2016" spans="1:11">
      <c r="A2016" s="141">
        <v>2016</v>
      </c>
      <c r="B2016" s="142">
        <v>44109</v>
      </c>
      <c r="C2016" s="149">
        <v>11.399999999999999</v>
      </c>
      <c r="D2016" s="141">
        <v>22205.199999999972</v>
      </c>
      <c r="E2016" s="141"/>
      <c r="F2016" s="141"/>
      <c r="G2016" s="141"/>
      <c r="H2016" s="141"/>
      <c r="J2016" s="141">
        <f t="shared" si="63"/>
        <v>1.0900000000000003</v>
      </c>
      <c r="K2016" s="141">
        <f t="shared" si="64"/>
        <v>62588.040000000074</v>
      </c>
    </row>
    <row r="2017" spans="1:11">
      <c r="A2017" s="141">
        <v>2017</v>
      </c>
      <c r="B2017" s="142">
        <v>44110</v>
      </c>
      <c r="C2017" s="149">
        <v>12.3</v>
      </c>
      <c r="D2017" s="141">
        <v>22217.499999999971</v>
      </c>
      <c r="E2017" s="141"/>
      <c r="F2017" s="141"/>
      <c r="G2017" s="141"/>
      <c r="H2017" s="141"/>
      <c r="J2017" s="141">
        <f t="shared" si="63"/>
        <v>0.95499999999999996</v>
      </c>
      <c r="K2017" s="141">
        <f t="shared" si="64"/>
        <v>62610.960000000072</v>
      </c>
    </row>
    <row r="2018" spans="1:11">
      <c r="A2018" s="141">
        <v>2018</v>
      </c>
      <c r="B2018" s="142">
        <v>44111</v>
      </c>
      <c r="C2018" s="149">
        <v>12.100000000000001</v>
      </c>
      <c r="D2018" s="141">
        <v>22229.599999999969</v>
      </c>
      <c r="E2018" s="141"/>
      <c r="F2018" s="141"/>
      <c r="G2018" s="141"/>
      <c r="H2018" s="141"/>
      <c r="J2018" s="141">
        <f t="shared" si="63"/>
        <v>0.98499999999999976</v>
      </c>
      <c r="K2018" s="141">
        <f t="shared" si="64"/>
        <v>62634.600000000071</v>
      </c>
    </row>
    <row r="2019" spans="1:11">
      <c r="A2019" s="141">
        <v>2019</v>
      </c>
      <c r="B2019" s="142">
        <v>44112</v>
      </c>
      <c r="C2019" s="149">
        <v>12.5</v>
      </c>
      <c r="D2019" s="141">
        <v>22242.099999999969</v>
      </c>
      <c r="E2019" s="141"/>
      <c r="F2019" s="141"/>
      <c r="G2019" s="141"/>
      <c r="H2019" s="141"/>
      <c r="J2019" s="141">
        <f t="shared" si="63"/>
        <v>0.92500000000000004</v>
      </c>
      <c r="K2019" s="141">
        <f t="shared" si="64"/>
        <v>62656.800000000068</v>
      </c>
    </row>
    <row r="2020" spans="1:11">
      <c r="A2020" s="141">
        <v>2020</v>
      </c>
      <c r="B2020" s="142">
        <v>44113</v>
      </c>
      <c r="C2020" s="149">
        <v>15.2</v>
      </c>
      <c r="D2020" s="141">
        <v>22257.29999999997</v>
      </c>
      <c r="E2020" s="141"/>
      <c r="F2020" s="141"/>
      <c r="G2020" s="141"/>
      <c r="H2020" s="141"/>
      <c r="J2020" s="141">
        <f t="shared" si="63"/>
        <v>0.52000000000000013</v>
      </c>
      <c r="K2020" s="141">
        <f t="shared" si="64"/>
        <v>62669.280000000072</v>
      </c>
    </row>
    <row r="2021" spans="1:11">
      <c r="A2021" s="141">
        <v>2021</v>
      </c>
      <c r="B2021" s="142">
        <v>44114</v>
      </c>
      <c r="C2021" s="149">
        <v>11.3</v>
      </c>
      <c r="D2021" s="141">
        <v>22268.599999999969</v>
      </c>
      <c r="E2021" s="141"/>
      <c r="F2021" s="141"/>
      <c r="G2021" s="141"/>
      <c r="H2021" s="141"/>
      <c r="J2021" s="141">
        <f t="shared" si="63"/>
        <v>1.105</v>
      </c>
      <c r="K2021" s="141">
        <f t="shared" si="64"/>
        <v>62695.800000000068</v>
      </c>
    </row>
    <row r="2022" spans="1:11">
      <c r="A2022" s="141">
        <v>2022</v>
      </c>
      <c r="B2022" s="142">
        <v>44115</v>
      </c>
      <c r="C2022" s="149">
        <v>6.1999999999999993</v>
      </c>
      <c r="D2022" s="141">
        <v>22274.79999999997</v>
      </c>
      <c r="E2022" s="141"/>
      <c r="F2022" s="141"/>
      <c r="G2022" s="141"/>
      <c r="H2022" s="141"/>
      <c r="J2022" s="141">
        <f t="shared" si="63"/>
        <v>1.87</v>
      </c>
      <c r="K2022" s="141">
        <f t="shared" si="64"/>
        <v>62740.680000000066</v>
      </c>
    </row>
    <row r="2023" spans="1:11">
      <c r="A2023" s="141">
        <v>2023</v>
      </c>
      <c r="B2023" s="142">
        <v>44116</v>
      </c>
      <c r="C2023" s="149">
        <v>7.8000000000000007</v>
      </c>
      <c r="D2023" s="141">
        <v>22282.599999999969</v>
      </c>
      <c r="E2023" s="141"/>
      <c r="F2023" s="141"/>
      <c r="G2023" s="141"/>
      <c r="H2023" s="141"/>
      <c r="J2023" s="141">
        <f t="shared" si="63"/>
        <v>1.63</v>
      </c>
      <c r="K2023" s="141">
        <f t="shared" si="64"/>
        <v>62779.800000000068</v>
      </c>
    </row>
    <row r="2024" spans="1:11">
      <c r="A2024" s="141">
        <v>2024</v>
      </c>
      <c r="B2024" s="142">
        <v>44117</v>
      </c>
      <c r="C2024" s="149">
        <v>6.5</v>
      </c>
      <c r="D2024" s="141">
        <v>22289.099999999969</v>
      </c>
      <c r="E2024" s="141"/>
      <c r="F2024" s="141"/>
      <c r="G2024" s="141"/>
      <c r="H2024" s="141"/>
      <c r="J2024" s="141">
        <f t="shared" si="63"/>
        <v>1.825</v>
      </c>
      <c r="K2024" s="141">
        <f t="shared" si="64"/>
        <v>62823.600000000071</v>
      </c>
    </row>
    <row r="2025" spans="1:11">
      <c r="A2025" s="141">
        <v>2025</v>
      </c>
      <c r="B2025" s="142">
        <v>44118</v>
      </c>
      <c r="C2025" s="149">
        <v>6.8999999999999986</v>
      </c>
      <c r="D2025" s="141">
        <v>22295.999999999971</v>
      </c>
      <c r="E2025" s="141"/>
      <c r="F2025" s="141"/>
      <c r="G2025" s="141"/>
      <c r="H2025" s="141"/>
      <c r="J2025" s="141">
        <f t="shared" si="63"/>
        <v>1.7650000000000001</v>
      </c>
      <c r="K2025" s="141">
        <f t="shared" si="64"/>
        <v>62865.960000000072</v>
      </c>
    </row>
    <row r="2026" spans="1:11">
      <c r="A2026" s="141">
        <v>2026</v>
      </c>
      <c r="B2026" s="142">
        <v>44119</v>
      </c>
      <c r="C2026" s="149">
        <v>9.1999999999999993</v>
      </c>
      <c r="D2026" s="141">
        <v>22305.199999999972</v>
      </c>
      <c r="E2026" s="141"/>
      <c r="F2026" s="141"/>
      <c r="G2026" s="141"/>
      <c r="H2026" s="141"/>
      <c r="J2026" s="141">
        <f t="shared" si="63"/>
        <v>1.4200000000000002</v>
      </c>
      <c r="K2026" s="141">
        <f t="shared" si="64"/>
        <v>62900.040000000074</v>
      </c>
    </row>
    <row r="2027" spans="1:11">
      <c r="A2027" s="141">
        <v>2027</v>
      </c>
      <c r="B2027" s="142">
        <v>44120</v>
      </c>
      <c r="C2027" s="149">
        <v>8.3000000000000007</v>
      </c>
      <c r="D2027" s="141">
        <v>22313.499999999971</v>
      </c>
      <c r="E2027" s="141"/>
      <c r="F2027" s="141"/>
      <c r="G2027" s="141"/>
      <c r="H2027" s="141"/>
      <c r="J2027" s="141">
        <f t="shared" si="63"/>
        <v>1.5549999999999999</v>
      </c>
      <c r="K2027" s="141">
        <f t="shared" si="64"/>
        <v>62937.360000000073</v>
      </c>
    </row>
    <row r="2028" spans="1:11">
      <c r="A2028" s="141">
        <v>2028</v>
      </c>
      <c r="B2028" s="142">
        <v>44121</v>
      </c>
      <c r="C2028" s="149">
        <v>7.3000000000000007</v>
      </c>
      <c r="D2028" s="141">
        <v>22320.79999999997</v>
      </c>
      <c r="E2028" s="141"/>
      <c r="F2028" s="141"/>
      <c r="G2028" s="141"/>
      <c r="H2028" s="141"/>
      <c r="J2028" s="141">
        <f t="shared" si="63"/>
        <v>1.7049999999999998</v>
      </c>
      <c r="K2028" s="141">
        <f t="shared" si="64"/>
        <v>62978.280000000072</v>
      </c>
    </row>
    <row r="2029" spans="1:11">
      <c r="A2029" s="141">
        <v>2029</v>
      </c>
      <c r="B2029" s="142">
        <v>44122</v>
      </c>
      <c r="C2029" s="149">
        <v>7.8999999999999986</v>
      </c>
      <c r="D2029" s="141">
        <v>22328.699999999972</v>
      </c>
      <c r="E2029" s="141"/>
      <c r="F2029" s="141"/>
      <c r="G2029" s="141"/>
      <c r="H2029" s="141"/>
      <c r="J2029" s="141">
        <f t="shared" si="63"/>
        <v>1.615</v>
      </c>
      <c r="K2029" s="141">
        <f t="shared" si="64"/>
        <v>63017.040000000074</v>
      </c>
    </row>
    <row r="2030" spans="1:11">
      <c r="A2030" s="141">
        <v>2030</v>
      </c>
      <c r="B2030" s="142">
        <v>44123</v>
      </c>
      <c r="C2030" s="149">
        <v>8.3999999999999986</v>
      </c>
      <c r="D2030" s="141">
        <v>22337.099999999973</v>
      </c>
      <c r="E2030" s="141"/>
      <c r="F2030" s="141"/>
      <c r="G2030" s="141"/>
      <c r="H2030" s="141"/>
      <c r="J2030" s="141">
        <f t="shared" si="63"/>
        <v>1.54</v>
      </c>
      <c r="K2030" s="141">
        <f t="shared" si="64"/>
        <v>63054.000000000073</v>
      </c>
    </row>
    <row r="2031" spans="1:11">
      <c r="A2031" s="141">
        <v>2031</v>
      </c>
      <c r="B2031" s="142">
        <v>44124</v>
      </c>
      <c r="C2031" s="149">
        <v>7.1000000000000014</v>
      </c>
      <c r="D2031" s="141">
        <v>22344.199999999972</v>
      </c>
      <c r="E2031" s="141"/>
      <c r="F2031" s="141"/>
      <c r="G2031" s="141"/>
      <c r="H2031" s="141"/>
      <c r="J2031" s="141">
        <f t="shared" si="63"/>
        <v>1.7349999999999999</v>
      </c>
      <c r="K2031" s="141">
        <f t="shared" si="64"/>
        <v>63095.640000000072</v>
      </c>
    </row>
    <row r="2032" spans="1:11">
      <c r="A2032" s="141">
        <v>2032</v>
      </c>
      <c r="B2032" s="142">
        <v>44125</v>
      </c>
      <c r="C2032" s="149">
        <v>8.8999999999999986</v>
      </c>
      <c r="D2032" s="141">
        <v>22353.099999999973</v>
      </c>
      <c r="E2032" s="141"/>
      <c r="F2032" s="141"/>
      <c r="G2032" s="141"/>
      <c r="H2032" s="141"/>
      <c r="J2032" s="141">
        <f t="shared" si="63"/>
        <v>1.4650000000000001</v>
      </c>
      <c r="K2032" s="141">
        <f t="shared" si="64"/>
        <v>63130.800000000076</v>
      </c>
    </row>
    <row r="2033" spans="1:11">
      <c r="A2033" s="141">
        <v>2033</v>
      </c>
      <c r="B2033" s="142">
        <v>44126</v>
      </c>
      <c r="C2033" s="149">
        <v>11.399999999999999</v>
      </c>
      <c r="D2033" s="141">
        <v>22364.499999999975</v>
      </c>
      <c r="E2033" s="141"/>
      <c r="F2033" s="141"/>
      <c r="G2033" s="141"/>
      <c r="H2033" s="141"/>
      <c r="J2033" s="141">
        <f t="shared" si="63"/>
        <v>1.0900000000000003</v>
      </c>
      <c r="K2033" s="141">
        <f t="shared" si="64"/>
        <v>63156.960000000079</v>
      </c>
    </row>
    <row r="2034" spans="1:11">
      <c r="A2034" s="141">
        <v>2034</v>
      </c>
      <c r="B2034" s="142">
        <v>44127</v>
      </c>
      <c r="C2034" s="149">
        <v>12.5</v>
      </c>
      <c r="D2034" s="141">
        <v>22376.999999999975</v>
      </c>
      <c r="E2034" s="141"/>
      <c r="F2034" s="141"/>
      <c r="G2034" s="141"/>
      <c r="H2034" s="141"/>
      <c r="J2034" s="141">
        <f t="shared" si="63"/>
        <v>0.92500000000000004</v>
      </c>
      <c r="K2034" s="141">
        <f t="shared" si="64"/>
        <v>63179.160000000076</v>
      </c>
    </row>
    <row r="2035" spans="1:11">
      <c r="A2035" s="141">
        <v>2035</v>
      </c>
      <c r="B2035" s="142">
        <v>44128</v>
      </c>
      <c r="C2035" s="149">
        <v>13.2</v>
      </c>
      <c r="D2035" s="141">
        <v>22390.199999999975</v>
      </c>
      <c r="E2035" s="141"/>
      <c r="F2035" s="141"/>
      <c r="G2035" s="141"/>
      <c r="H2035" s="141"/>
      <c r="J2035" s="141">
        <f t="shared" si="63"/>
        <v>0.82000000000000006</v>
      </c>
      <c r="K2035" s="141">
        <f t="shared" si="64"/>
        <v>63198.840000000077</v>
      </c>
    </row>
    <row r="2036" spans="1:11">
      <c r="A2036" s="141">
        <v>2036</v>
      </c>
      <c r="B2036" s="142">
        <v>44129</v>
      </c>
      <c r="C2036" s="149">
        <v>8.8000000000000007</v>
      </c>
      <c r="D2036" s="141">
        <v>22398.999999999975</v>
      </c>
      <c r="E2036" s="141"/>
      <c r="F2036" s="141"/>
      <c r="G2036" s="141"/>
      <c r="H2036" s="141"/>
      <c r="J2036" s="141">
        <f t="shared" si="63"/>
        <v>1.48</v>
      </c>
      <c r="K2036" s="141">
        <f t="shared" si="64"/>
        <v>63234.360000000073</v>
      </c>
    </row>
    <row r="2037" spans="1:11">
      <c r="A2037" s="141">
        <v>2037</v>
      </c>
      <c r="B2037" s="142">
        <v>44130</v>
      </c>
      <c r="C2037" s="149">
        <v>10.899999999999999</v>
      </c>
      <c r="D2037" s="141">
        <v>22409.899999999976</v>
      </c>
      <c r="E2037" s="141"/>
      <c r="F2037" s="141"/>
      <c r="G2037" s="141"/>
      <c r="H2037" s="141"/>
      <c r="J2037" s="141">
        <f t="shared" si="63"/>
        <v>1.1650000000000003</v>
      </c>
      <c r="K2037" s="141">
        <f t="shared" si="64"/>
        <v>63262.320000000072</v>
      </c>
    </row>
    <row r="2038" spans="1:11">
      <c r="A2038" s="141">
        <v>2038</v>
      </c>
      <c r="B2038" s="142">
        <v>44131</v>
      </c>
      <c r="C2038" s="149">
        <v>8</v>
      </c>
      <c r="D2038" s="141">
        <v>22417.899999999976</v>
      </c>
      <c r="E2038" s="141"/>
      <c r="F2038" s="141"/>
      <c r="G2038" s="141"/>
      <c r="H2038" s="141"/>
      <c r="J2038" s="141">
        <f t="shared" si="63"/>
        <v>1.6</v>
      </c>
      <c r="K2038" s="141">
        <f t="shared" si="64"/>
        <v>63300.720000000074</v>
      </c>
    </row>
    <row r="2039" spans="1:11">
      <c r="A2039" s="141">
        <v>2039</v>
      </c>
      <c r="B2039" s="142">
        <v>44132</v>
      </c>
      <c r="C2039" s="149">
        <v>6.8000000000000007</v>
      </c>
      <c r="D2039" s="141">
        <v>22424.699999999975</v>
      </c>
      <c r="E2039" s="141"/>
      <c r="F2039" s="141"/>
      <c r="G2039" s="141"/>
      <c r="H2039" s="141"/>
      <c r="J2039" s="141">
        <f t="shared" si="63"/>
        <v>1.78</v>
      </c>
      <c r="K2039" s="141">
        <f t="shared" si="64"/>
        <v>63343.440000000075</v>
      </c>
    </row>
    <row r="2040" spans="1:11">
      <c r="A2040" s="141">
        <v>2040</v>
      </c>
      <c r="B2040" s="142">
        <v>44133</v>
      </c>
      <c r="C2040" s="149">
        <v>8.3999999999999986</v>
      </c>
      <c r="D2040" s="141">
        <v>22433.099999999977</v>
      </c>
      <c r="E2040" s="141"/>
      <c r="F2040" s="141"/>
      <c r="G2040" s="141"/>
      <c r="H2040" s="141"/>
      <c r="J2040" s="141">
        <f t="shared" si="63"/>
        <v>1.54</v>
      </c>
      <c r="K2040" s="141">
        <f t="shared" si="64"/>
        <v>63380.400000000074</v>
      </c>
    </row>
    <row r="2041" spans="1:11">
      <c r="A2041" s="141">
        <v>2041</v>
      </c>
      <c r="B2041" s="142">
        <v>44134</v>
      </c>
      <c r="C2041" s="149">
        <v>10.3</v>
      </c>
      <c r="D2041" s="141">
        <v>22443.399999999976</v>
      </c>
      <c r="E2041" s="141"/>
      <c r="F2041" s="141"/>
      <c r="G2041" s="141"/>
      <c r="H2041" s="141"/>
      <c r="J2041" s="141">
        <f t="shared" si="63"/>
        <v>1.2549999999999999</v>
      </c>
      <c r="K2041" s="141">
        <f t="shared" si="64"/>
        <v>63410.520000000077</v>
      </c>
    </row>
    <row r="2042" spans="1:11">
      <c r="A2042" s="141">
        <v>2042</v>
      </c>
      <c r="B2042" s="142">
        <v>44135</v>
      </c>
      <c r="C2042" s="149">
        <v>12.600000000000001</v>
      </c>
      <c r="D2042" s="141">
        <v>22455.999999999975</v>
      </c>
      <c r="E2042" s="141"/>
      <c r="F2042" s="141"/>
      <c r="G2042" s="141"/>
      <c r="H2042" s="141"/>
      <c r="J2042" s="141">
        <f t="shared" si="63"/>
        <v>0.90999999999999981</v>
      </c>
      <c r="K2042" s="141">
        <f t="shared" si="64"/>
        <v>63432.360000000073</v>
      </c>
    </row>
    <row r="2043" spans="1:11">
      <c r="A2043" s="141">
        <v>2043</v>
      </c>
      <c r="B2043" s="142">
        <v>44136</v>
      </c>
      <c r="C2043" s="149">
        <v>9.8000000000000007</v>
      </c>
      <c r="D2043" s="141">
        <v>22465.799999999974</v>
      </c>
      <c r="E2043" s="141"/>
      <c r="F2043" s="141"/>
      <c r="G2043" s="141"/>
      <c r="H2043" s="141"/>
      <c r="J2043" s="141">
        <f t="shared" si="63"/>
        <v>1.3299999999999998</v>
      </c>
      <c r="K2043" s="141">
        <f t="shared" si="64"/>
        <v>63464.280000000072</v>
      </c>
    </row>
    <row r="2044" spans="1:11">
      <c r="A2044" s="141">
        <v>2044</v>
      </c>
      <c r="B2044" s="142">
        <v>44137</v>
      </c>
      <c r="C2044" s="149">
        <v>15.2</v>
      </c>
      <c r="D2044" s="141">
        <v>22480.999999999975</v>
      </c>
      <c r="E2044" s="141"/>
      <c r="F2044" s="141"/>
      <c r="G2044" s="141"/>
      <c r="H2044" s="141"/>
      <c r="J2044" s="141">
        <f t="shared" si="63"/>
        <v>0.52000000000000013</v>
      </c>
      <c r="K2044" s="141">
        <f t="shared" si="64"/>
        <v>63476.760000000075</v>
      </c>
    </row>
    <row r="2045" spans="1:11">
      <c r="A2045" s="141">
        <v>2045</v>
      </c>
      <c r="B2045" s="142">
        <v>44138</v>
      </c>
      <c r="C2045" s="149">
        <v>13.399999999999999</v>
      </c>
      <c r="D2045" s="141">
        <v>22494.399999999976</v>
      </c>
      <c r="E2045" s="141"/>
      <c r="F2045" s="141"/>
      <c r="G2045" s="141"/>
      <c r="H2045" s="141"/>
      <c r="J2045" s="141">
        <f t="shared" si="63"/>
        <v>0.79000000000000026</v>
      </c>
      <c r="K2045" s="141">
        <f t="shared" si="64"/>
        <v>63495.720000000074</v>
      </c>
    </row>
    <row r="2046" spans="1:11">
      <c r="A2046" s="141">
        <v>2046</v>
      </c>
      <c r="B2046" s="142">
        <v>44139</v>
      </c>
      <c r="C2046" s="149">
        <v>9.1000000000000014</v>
      </c>
      <c r="D2046" s="141">
        <v>22503.499999999975</v>
      </c>
      <c r="E2046" s="141"/>
      <c r="F2046" s="141"/>
      <c r="G2046" s="141"/>
      <c r="H2046" s="141"/>
      <c r="J2046" s="141">
        <f t="shared" si="63"/>
        <v>1.4349999999999998</v>
      </c>
      <c r="K2046" s="141">
        <f t="shared" si="64"/>
        <v>63530.160000000076</v>
      </c>
    </row>
    <row r="2047" spans="1:11">
      <c r="A2047" s="141">
        <v>2047</v>
      </c>
      <c r="B2047" s="142">
        <v>44140</v>
      </c>
      <c r="C2047" s="149">
        <v>5.3999999999999986</v>
      </c>
      <c r="D2047" s="141">
        <v>22508.899999999976</v>
      </c>
      <c r="E2047" s="141"/>
      <c r="F2047" s="141"/>
      <c r="G2047" s="141"/>
      <c r="H2047" s="141"/>
      <c r="J2047" s="141">
        <f t="shared" si="63"/>
        <v>1.99</v>
      </c>
      <c r="K2047" s="141">
        <f t="shared" si="64"/>
        <v>63577.920000000078</v>
      </c>
    </row>
    <row r="2048" spans="1:11">
      <c r="A2048" s="141">
        <v>2048</v>
      </c>
      <c r="B2048" s="142">
        <v>44141</v>
      </c>
      <c r="C2048" s="149">
        <v>3.1000000000000014</v>
      </c>
      <c r="D2048" s="141">
        <v>22511.999999999975</v>
      </c>
      <c r="E2048" s="141"/>
      <c r="F2048" s="141"/>
      <c r="G2048" s="141"/>
      <c r="H2048" s="141"/>
      <c r="J2048" s="141">
        <f t="shared" si="63"/>
        <v>2.335</v>
      </c>
      <c r="K2048" s="141">
        <f t="shared" si="64"/>
        <v>63633.960000000079</v>
      </c>
    </row>
    <row r="2049" spans="1:11">
      <c r="A2049" s="141">
        <v>2049</v>
      </c>
      <c r="B2049" s="142">
        <v>44142</v>
      </c>
      <c r="C2049" s="149">
        <v>1.8999999999999986</v>
      </c>
      <c r="D2049" s="141">
        <v>22513.899999999976</v>
      </c>
      <c r="E2049" s="141"/>
      <c r="F2049" s="141"/>
      <c r="G2049" s="141"/>
      <c r="H2049" s="141"/>
      <c r="J2049" s="141">
        <f t="shared" si="63"/>
        <v>2.5150000000000001</v>
      </c>
      <c r="K2049" s="141">
        <f t="shared" si="64"/>
        <v>63694.32000000008</v>
      </c>
    </row>
    <row r="2050" spans="1:11">
      <c r="A2050" s="141">
        <v>2050</v>
      </c>
      <c r="B2050" s="142">
        <v>44143</v>
      </c>
      <c r="C2050" s="149">
        <v>2.5</v>
      </c>
      <c r="D2050" s="141">
        <v>22516.399999999976</v>
      </c>
      <c r="E2050" s="141"/>
      <c r="F2050" s="141"/>
      <c r="G2050" s="141"/>
      <c r="H2050" s="141"/>
      <c r="J2050" s="141">
        <f t="shared" si="63"/>
        <v>2.4249999999999998</v>
      </c>
      <c r="K2050" s="141">
        <f t="shared" si="64"/>
        <v>63752.520000000077</v>
      </c>
    </row>
    <row r="2051" spans="1:11">
      <c r="A2051" s="141">
        <v>2051</v>
      </c>
      <c r="B2051" s="142">
        <v>44144</v>
      </c>
      <c r="C2051" s="149">
        <v>3.1999999999999993</v>
      </c>
      <c r="D2051" s="141">
        <v>22519.599999999977</v>
      </c>
      <c r="E2051" s="141"/>
      <c r="F2051" s="141"/>
      <c r="G2051" s="141"/>
      <c r="H2051" s="141"/>
      <c r="J2051" s="141">
        <f t="shared" si="63"/>
        <v>2.3199999999999998</v>
      </c>
      <c r="K2051" s="141">
        <f t="shared" si="64"/>
        <v>63808.200000000077</v>
      </c>
    </row>
    <row r="2052" spans="1:11">
      <c r="A2052" s="141">
        <v>2052</v>
      </c>
      <c r="B2052" s="142">
        <v>44145</v>
      </c>
      <c r="C2052" s="149">
        <v>4.3999999999999986</v>
      </c>
      <c r="D2052" s="141">
        <v>22523.999999999978</v>
      </c>
      <c r="E2052" s="141"/>
      <c r="F2052" s="141"/>
      <c r="G2052" s="141"/>
      <c r="H2052" s="141"/>
      <c r="J2052" s="141">
        <f t="shared" si="63"/>
        <v>2.14</v>
      </c>
      <c r="K2052" s="141">
        <f t="shared" si="64"/>
        <v>63859.560000000078</v>
      </c>
    </row>
    <row r="2053" spans="1:11">
      <c r="A2053" s="141">
        <v>2053</v>
      </c>
      <c r="B2053" s="142">
        <v>44146</v>
      </c>
      <c r="C2053" s="149">
        <v>4.8999999999999986</v>
      </c>
      <c r="D2053" s="141">
        <v>22528.89999999998</v>
      </c>
      <c r="E2053" s="141"/>
      <c r="F2053" s="141"/>
      <c r="G2053" s="141"/>
      <c r="H2053" s="141"/>
      <c r="J2053" s="141">
        <f t="shared" si="63"/>
        <v>2.0650000000000004</v>
      </c>
      <c r="K2053" s="141">
        <f t="shared" si="64"/>
        <v>63909.120000000075</v>
      </c>
    </row>
    <row r="2054" spans="1:11">
      <c r="A2054" s="141">
        <v>2054</v>
      </c>
      <c r="B2054" s="142">
        <v>44147</v>
      </c>
      <c r="C2054" s="149">
        <v>5.3999999999999986</v>
      </c>
      <c r="D2054" s="141">
        <v>22534.299999999981</v>
      </c>
      <c r="E2054" s="141"/>
      <c r="F2054" s="141"/>
      <c r="G2054" s="141"/>
      <c r="H2054" s="141"/>
      <c r="J2054" s="141">
        <f t="shared" si="63"/>
        <v>1.99</v>
      </c>
      <c r="K2054" s="141">
        <f t="shared" si="64"/>
        <v>63956.880000000077</v>
      </c>
    </row>
    <row r="2055" spans="1:11">
      <c r="A2055" s="141">
        <v>2055</v>
      </c>
      <c r="B2055" s="142">
        <v>44148</v>
      </c>
      <c r="C2055" s="149">
        <v>7.1000000000000014</v>
      </c>
      <c r="D2055" s="141">
        <v>22541.39999999998</v>
      </c>
      <c r="E2055" s="141"/>
      <c r="F2055" s="141"/>
      <c r="G2055" s="141"/>
      <c r="H2055" s="141"/>
      <c r="J2055" s="141">
        <f t="shared" ref="J2055:J2118" si="65">J$1+(IF(J$3-$C2055&gt;0,J$3-$C2055,0)*J$2/30)</f>
        <v>1.7349999999999999</v>
      </c>
      <c r="K2055" s="141">
        <f t="shared" ref="K2055:K2118" si="66">K2054+J2055*24</f>
        <v>63998.520000000077</v>
      </c>
    </row>
    <row r="2056" spans="1:11">
      <c r="A2056" s="141">
        <v>2056</v>
      </c>
      <c r="B2056" s="142">
        <v>44149</v>
      </c>
      <c r="C2056" s="149">
        <v>8.6000000000000014</v>
      </c>
      <c r="D2056" s="141">
        <v>22549.999999999978</v>
      </c>
      <c r="E2056" s="141"/>
      <c r="F2056" s="141"/>
      <c r="G2056" s="141"/>
      <c r="H2056" s="141"/>
      <c r="J2056" s="141">
        <f t="shared" si="65"/>
        <v>1.51</v>
      </c>
      <c r="K2056" s="141">
        <f t="shared" si="66"/>
        <v>64034.760000000075</v>
      </c>
    </row>
    <row r="2057" spans="1:11">
      <c r="A2057" s="141">
        <v>2057</v>
      </c>
      <c r="B2057" s="142">
        <v>44150</v>
      </c>
      <c r="C2057" s="149">
        <v>5.3999999999999986</v>
      </c>
      <c r="D2057" s="141">
        <v>22555.39999999998</v>
      </c>
      <c r="E2057" s="141"/>
      <c r="F2057" s="141"/>
      <c r="G2057" s="141"/>
      <c r="H2057" s="141"/>
      <c r="J2057" s="141">
        <f t="shared" si="65"/>
        <v>1.99</v>
      </c>
      <c r="K2057" s="141">
        <f t="shared" si="66"/>
        <v>64082.520000000077</v>
      </c>
    </row>
    <row r="2058" spans="1:11">
      <c r="A2058" s="141">
        <v>2058</v>
      </c>
      <c r="B2058" s="142">
        <v>44151</v>
      </c>
      <c r="C2058" s="149">
        <v>7.8000000000000007</v>
      </c>
      <c r="D2058" s="141">
        <v>22563.199999999979</v>
      </c>
      <c r="E2058" s="141"/>
      <c r="F2058" s="141"/>
      <c r="G2058" s="141"/>
      <c r="H2058" s="141"/>
      <c r="J2058" s="141">
        <f t="shared" si="65"/>
        <v>1.63</v>
      </c>
      <c r="K2058" s="141">
        <f t="shared" si="66"/>
        <v>64121.640000000079</v>
      </c>
    </row>
    <row r="2059" spans="1:11">
      <c r="A2059" s="141">
        <v>2059</v>
      </c>
      <c r="B2059" s="142">
        <v>44152</v>
      </c>
      <c r="C2059" s="149">
        <v>9.6000000000000014</v>
      </c>
      <c r="D2059" s="141">
        <v>22572.799999999977</v>
      </c>
      <c r="E2059" s="141"/>
      <c r="F2059" s="141"/>
      <c r="G2059" s="141"/>
      <c r="H2059" s="141"/>
      <c r="J2059" s="141">
        <f t="shared" si="65"/>
        <v>1.3599999999999999</v>
      </c>
      <c r="K2059" s="141">
        <f t="shared" si="66"/>
        <v>64154.280000000079</v>
      </c>
    </row>
    <row r="2060" spans="1:11">
      <c r="A2060" s="141">
        <v>2060</v>
      </c>
      <c r="B2060" s="142">
        <v>44153</v>
      </c>
      <c r="C2060" s="149">
        <v>8.8999999999999986</v>
      </c>
      <c r="D2060" s="141">
        <v>22581.699999999979</v>
      </c>
      <c r="E2060" s="141"/>
      <c r="F2060" s="141"/>
      <c r="G2060" s="141"/>
      <c r="H2060" s="141"/>
      <c r="J2060" s="141">
        <f t="shared" si="65"/>
        <v>1.4650000000000001</v>
      </c>
      <c r="K2060" s="141">
        <f t="shared" si="66"/>
        <v>64189.440000000082</v>
      </c>
    </row>
    <row r="2061" spans="1:11">
      <c r="A2061" s="141">
        <v>2061</v>
      </c>
      <c r="B2061" s="142">
        <v>44154</v>
      </c>
      <c r="C2061" s="149">
        <v>6.8999999999999986</v>
      </c>
      <c r="D2061" s="141">
        <v>22588.59999999998</v>
      </c>
      <c r="E2061" s="141"/>
      <c r="F2061" s="141"/>
      <c r="G2061" s="141"/>
      <c r="H2061" s="141"/>
      <c r="J2061" s="141">
        <f t="shared" si="65"/>
        <v>1.7650000000000001</v>
      </c>
      <c r="K2061" s="141">
        <f t="shared" si="66"/>
        <v>64231.800000000083</v>
      </c>
    </row>
    <row r="2062" spans="1:11">
      <c r="A2062" s="141">
        <v>2062</v>
      </c>
      <c r="B2062" s="142">
        <v>44155</v>
      </c>
      <c r="C2062" s="149">
        <v>3.5</v>
      </c>
      <c r="D2062" s="141">
        <v>22592.09999999998</v>
      </c>
      <c r="E2062" s="141"/>
      <c r="F2062" s="141"/>
      <c r="G2062" s="141"/>
      <c r="H2062" s="141"/>
      <c r="J2062" s="141">
        <f t="shared" si="65"/>
        <v>2.2749999999999999</v>
      </c>
      <c r="K2062" s="141">
        <f t="shared" si="66"/>
        <v>64286.400000000081</v>
      </c>
    </row>
    <row r="2063" spans="1:11">
      <c r="A2063" s="141">
        <v>2063</v>
      </c>
      <c r="B2063" s="142">
        <v>44156</v>
      </c>
      <c r="C2063" s="149">
        <v>0.39999999999999858</v>
      </c>
      <c r="D2063" s="141">
        <v>22592.499999999982</v>
      </c>
      <c r="E2063" s="141"/>
      <c r="F2063" s="141"/>
      <c r="G2063" s="141"/>
      <c r="H2063" s="141"/>
      <c r="J2063" s="141">
        <f t="shared" si="65"/>
        <v>2.74</v>
      </c>
      <c r="K2063" s="141">
        <f t="shared" si="66"/>
        <v>64352.160000000084</v>
      </c>
    </row>
    <row r="2064" spans="1:11">
      <c r="A2064" s="141">
        <v>2064</v>
      </c>
      <c r="B2064" s="142">
        <v>44157</v>
      </c>
      <c r="C2064" s="149">
        <v>3</v>
      </c>
      <c r="D2064" s="141">
        <v>22595.499999999982</v>
      </c>
      <c r="E2064" s="141"/>
      <c r="F2064" s="141"/>
      <c r="G2064" s="141"/>
      <c r="H2064" s="141"/>
      <c r="J2064" s="141">
        <f t="shared" si="65"/>
        <v>2.35</v>
      </c>
      <c r="K2064" s="141">
        <f t="shared" si="66"/>
        <v>64408.560000000085</v>
      </c>
    </row>
    <row r="2065" spans="1:11">
      <c r="A2065" s="141">
        <v>2065</v>
      </c>
      <c r="B2065" s="142">
        <v>44158</v>
      </c>
      <c r="C2065" s="149">
        <v>4.8000000000000007</v>
      </c>
      <c r="D2065" s="141">
        <v>22600.299999999981</v>
      </c>
      <c r="E2065" s="141"/>
      <c r="F2065" s="141"/>
      <c r="G2065" s="141"/>
      <c r="H2065" s="141"/>
      <c r="J2065" s="141">
        <f t="shared" si="65"/>
        <v>2.08</v>
      </c>
      <c r="K2065" s="141">
        <f t="shared" si="66"/>
        <v>64458.480000000083</v>
      </c>
    </row>
    <row r="2066" spans="1:11">
      <c r="A2066" s="141">
        <v>2066</v>
      </c>
      <c r="B2066" s="142">
        <v>44159</v>
      </c>
      <c r="C2066" s="149">
        <v>-0.69999999999999929</v>
      </c>
      <c r="D2066" s="141">
        <v>22599.59999999998</v>
      </c>
      <c r="E2066" s="141"/>
      <c r="F2066" s="141"/>
      <c r="G2066" s="141"/>
      <c r="H2066" s="141"/>
      <c r="J2066" s="141">
        <f t="shared" si="65"/>
        <v>2.9049999999999998</v>
      </c>
      <c r="K2066" s="141">
        <f t="shared" si="66"/>
        <v>64528.200000000084</v>
      </c>
    </row>
    <row r="2067" spans="1:11">
      <c r="A2067" s="141">
        <v>2067</v>
      </c>
      <c r="B2067" s="142">
        <v>44160</v>
      </c>
      <c r="C2067" s="149">
        <v>-0.10000000000000142</v>
      </c>
      <c r="D2067" s="141">
        <v>22599.499999999982</v>
      </c>
      <c r="E2067" s="141"/>
      <c r="F2067" s="141"/>
      <c r="G2067" s="141"/>
      <c r="H2067" s="141"/>
      <c r="J2067" s="141">
        <f t="shared" si="65"/>
        <v>2.8149999999999999</v>
      </c>
      <c r="K2067" s="141">
        <f t="shared" si="66"/>
        <v>64595.760000000082</v>
      </c>
    </row>
    <row r="2068" spans="1:11">
      <c r="A2068" s="141">
        <v>2068</v>
      </c>
      <c r="B2068" s="142">
        <v>44161</v>
      </c>
      <c r="C2068" s="149">
        <v>-0.39999999999999858</v>
      </c>
      <c r="D2068" s="141">
        <v>22599.09999999998</v>
      </c>
      <c r="E2068" s="141"/>
      <c r="F2068" s="141"/>
      <c r="G2068" s="141"/>
      <c r="H2068" s="141"/>
      <c r="J2068" s="141">
        <f t="shared" si="65"/>
        <v>2.86</v>
      </c>
      <c r="K2068" s="141">
        <f t="shared" si="66"/>
        <v>64664.400000000081</v>
      </c>
    </row>
    <row r="2069" spans="1:11">
      <c r="A2069" s="141">
        <v>2069</v>
      </c>
      <c r="B2069" s="142">
        <v>44162</v>
      </c>
      <c r="C2069" s="149">
        <v>-0.10000000000000142</v>
      </c>
      <c r="D2069" s="141">
        <v>22598.999999999982</v>
      </c>
      <c r="E2069" s="141"/>
      <c r="F2069" s="141"/>
      <c r="G2069" s="141"/>
      <c r="H2069" s="141"/>
      <c r="J2069" s="141">
        <f t="shared" si="65"/>
        <v>2.8149999999999999</v>
      </c>
      <c r="K2069" s="141">
        <f t="shared" si="66"/>
        <v>64731.960000000079</v>
      </c>
    </row>
    <row r="2070" spans="1:11">
      <c r="A2070" s="141">
        <v>2070</v>
      </c>
      <c r="B2070" s="142">
        <v>44163</v>
      </c>
      <c r="C2070" s="149">
        <v>0.5</v>
      </c>
      <c r="D2070" s="141">
        <v>22599.499999999982</v>
      </c>
      <c r="E2070" s="141"/>
      <c r="F2070" s="141"/>
      <c r="G2070" s="141"/>
      <c r="H2070" s="141"/>
      <c r="J2070" s="141">
        <f t="shared" si="65"/>
        <v>2.7250000000000001</v>
      </c>
      <c r="K2070" s="141">
        <f t="shared" si="66"/>
        <v>64797.360000000081</v>
      </c>
    </row>
    <row r="2071" spans="1:11">
      <c r="A2071" s="141">
        <v>2071</v>
      </c>
      <c r="B2071" s="142">
        <v>44164</v>
      </c>
      <c r="C2071" s="149">
        <v>1.6000000000000014</v>
      </c>
      <c r="D2071" s="141">
        <v>22601.09999999998</v>
      </c>
      <c r="E2071" s="141"/>
      <c r="F2071" s="141"/>
      <c r="G2071" s="141"/>
      <c r="H2071" s="141"/>
      <c r="J2071" s="141">
        <f t="shared" si="65"/>
        <v>2.56</v>
      </c>
      <c r="K2071" s="141">
        <f t="shared" si="66"/>
        <v>64858.800000000083</v>
      </c>
    </row>
    <row r="2072" spans="1:11">
      <c r="A2072" s="141">
        <v>2072</v>
      </c>
      <c r="B2072" s="142">
        <v>44165</v>
      </c>
      <c r="C2072" s="149">
        <v>0.5</v>
      </c>
      <c r="D2072" s="141">
        <v>22601.59999999998</v>
      </c>
      <c r="E2072" s="141"/>
      <c r="F2072" s="141"/>
      <c r="G2072" s="141"/>
      <c r="H2072" s="141"/>
      <c r="J2072" s="141">
        <f t="shared" si="65"/>
        <v>2.7250000000000001</v>
      </c>
      <c r="K2072" s="141">
        <f t="shared" si="66"/>
        <v>64924.200000000084</v>
      </c>
    </row>
    <row r="2073" spans="1:11">
      <c r="A2073" s="141">
        <v>2073</v>
      </c>
      <c r="B2073" s="142">
        <v>44166</v>
      </c>
      <c r="C2073" s="149">
        <v>-1.3000000000000007</v>
      </c>
      <c r="D2073" s="141">
        <v>22600.299999999981</v>
      </c>
      <c r="E2073" s="141"/>
      <c r="F2073" s="141"/>
      <c r="G2073" s="141"/>
      <c r="H2073" s="141"/>
      <c r="J2073" s="141">
        <f t="shared" si="65"/>
        <v>2.9950000000000001</v>
      </c>
      <c r="K2073" s="141">
        <f t="shared" si="66"/>
        <v>64996.080000000082</v>
      </c>
    </row>
    <row r="2074" spans="1:11">
      <c r="A2074" s="141">
        <v>2074</v>
      </c>
      <c r="B2074" s="142">
        <v>44167</v>
      </c>
      <c r="C2074" s="149">
        <v>-1.8000000000000007</v>
      </c>
      <c r="D2074" s="141">
        <v>22598.499999999982</v>
      </c>
      <c r="E2074" s="141"/>
      <c r="F2074" s="141"/>
      <c r="G2074" s="141"/>
      <c r="H2074" s="141"/>
      <c r="J2074" s="141">
        <f t="shared" si="65"/>
        <v>3.0700000000000003</v>
      </c>
      <c r="K2074" s="141">
        <f t="shared" si="66"/>
        <v>65069.760000000082</v>
      </c>
    </row>
    <row r="2075" spans="1:11">
      <c r="A2075" s="141">
        <v>2075</v>
      </c>
      <c r="B2075" s="142">
        <v>44168</v>
      </c>
      <c r="C2075" s="149">
        <v>-1.8000000000000007</v>
      </c>
      <c r="D2075" s="141">
        <v>22596.699999999983</v>
      </c>
      <c r="E2075" s="141"/>
      <c r="F2075" s="141"/>
      <c r="G2075" s="141"/>
      <c r="H2075" s="141"/>
      <c r="J2075" s="141">
        <f t="shared" si="65"/>
        <v>3.0700000000000003</v>
      </c>
      <c r="K2075" s="141">
        <f t="shared" si="66"/>
        <v>65143.440000000082</v>
      </c>
    </row>
    <row r="2076" spans="1:11">
      <c r="A2076" s="141">
        <v>2076</v>
      </c>
      <c r="B2076" s="142">
        <v>44169</v>
      </c>
      <c r="C2076" s="149">
        <v>1.1000000000000014</v>
      </c>
      <c r="D2076" s="141">
        <v>22597.799999999981</v>
      </c>
      <c r="E2076" s="141"/>
      <c r="F2076" s="141"/>
      <c r="G2076" s="141"/>
      <c r="H2076" s="141"/>
      <c r="J2076" s="141">
        <f t="shared" si="65"/>
        <v>2.6349999999999998</v>
      </c>
      <c r="K2076" s="141">
        <f t="shared" si="66"/>
        <v>65206.68000000008</v>
      </c>
    </row>
    <row r="2077" spans="1:11">
      <c r="A2077" s="141">
        <v>2077</v>
      </c>
      <c r="B2077" s="142">
        <v>44170</v>
      </c>
      <c r="C2077" s="149">
        <v>4.8000000000000007</v>
      </c>
      <c r="D2077" s="141">
        <v>22602.59999999998</v>
      </c>
      <c r="E2077" s="141"/>
      <c r="F2077" s="141"/>
      <c r="G2077" s="141"/>
      <c r="H2077" s="141"/>
      <c r="J2077" s="141">
        <f t="shared" si="65"/>
        <v>2.08</v>
      </c>
      <c r="K2077" s="141">
        <f t="shared" si="66"/>
        <v>65256.600000000079</v>
      </c>
    </row>
    <row r="2078" spans="1:11">
      <c r="A2078" s="141">
        <v>2078</v>
      </c>
      <c r="B2078" s="142">
        <v>44171</v>
      </c>
      <c r="C2078" s="149">
        <v>8.8999999999999986</v>
      </c>
      <c r="D2078" s="141">
        <v>22611.499999999982</v>
      </c>
      <c r="E2078" s="141"/>
      <c r="F2078" s="141"/>
      <c r="G2078" s="141"/>
      <c r="H2078" s="141"/>
      <c r="J2078" s="141">
        <f t="shared" si="65"/>
        <v>1.4650000000000001</v>
      </c>
      <c r="K2078" s="141">
        <f t="shared" si="66"/>
        <v>65291.760000000082</v>
      </c>
    </row>
    <row r="2079" spans="1:11">
      <c r="A2079" s="141">
        <v>2079</v>
      </c>
      <c r="B2079" s="142">
        <v>44172</v>
      </c>
      <c r="C2079" s="149">
        <v>7</v>
      </c>
      <c r="D2079" s="141">
        <v>22618.499999999982</v>
      </c>
      <c r="E2079" s="141"/>
      <c r="F2079" s="141"/>
      <c r="G2079" s="141"/>
      <c r="H2079" s="141"/>
      <c r="J2079" s="141">
        <f t="shared" si="65"/>
        <v>1.75</v>
      </c>
      <c r="K2079" s="141">
        <f t="shared" si="66"/>
        <v>65333.760000000082</v>
      </c>
    </row>
    <row r="2080" spans="1:11">
      <c r="A2080" s="141">
        <v>2080</v>
      </c>
      <c r="B2080" s="142">
        <v>44173</v>
      </c>
      <c r="C2080" s="149">
        <v>4.1000000000000014</v>
      </c>
      <c r="D2080" s="141">
        <v>22622.59999999998</v>
      </c>
      <c r="E2080" s="141"/>
      <c r="F2080" s="141"/>
      <c r="G2080" s="141"/>
      <c r="H2080" s="141"/>
      <c r="J2080" s="141">
        <f t="shared" si="65"/>
        <v>2.1849999999999996</v>
      </c>
      <c r="K2080" s="141">
        <f t="shared" si="66"/>
        <v>65386.200000000084</v>
      </c>
    </row>
    <row r="2081" spans="1:11">
      <c r="A2081" s="141">
        <v>2081</v>
      </c>
      <c r="B2081" s="142">
        <v>44174</v>
      </c>
      <c r="C2081" s="149">
        <v>4.8000000000000007</v>
      </c>
      <c r="D2081" s="141">
        <v>22627.39999999998</v>
      </c>
      <c r="E2081" s="141"/>
      <c r="F2081" s="141"/>
      <c r="G2081" s="141"/>
      <c r="H2081" s="141"/>
      <c r="J2081" s="141">
        <f t="shared" si="65"/>
        <v>2.08</v>
      </c>
      <c r="K2081" s="141">
        <f t="shared" si="66"/>
        <v>65436.120000000083</v>
      </c>
    </row>
    <row r="2082" spans="1:11">
      <c r="A2082" s="141">
        <v>2082</v>
      </c>
      <c r="B2082" s="142">
        <v>44175</v>
      </c>
      <c r="C2082" s="149">
        <v>3.5</v>
      </c>
      <c r="D2082" s="141">
        <v>22630.89999999998</v>
      </c>
      <c r="E2082" s="141"/>
      <c r="F2082" s="141"/>
      <c r="G2082" s="141"/>
      <c r="H2082" s="141"/>
      <c r="J2082" s="141">
        <f t="shared" si="65"/>
        <v>2.2749999999999999</v>
      </c>
      <c r="K2082" s="141">
        <f t="shared" si="66"/>
        <v>65490.720000000081</v>
      </c>
    </row>
    <row r="2083" spans="1:11">
      <c r="A2083" s="141">
        <v>2083</v>
      </c>
      <c r="B2083" s="142">
        <v>44176</v>
      </c>
      <c r="C2083" s="149">
        <v>2.1000000000000014</v>
      </c>
      <c r="D2083" s="141">
        <v>22632.999999999978</v>
      </c>
      <c r="E2083" s="141"/>
      <c r="F2083" s="141"/>
      <c r="G2083" s="141"/>
      <c r="H2083" s="141"/>
      <c r="J2083" s="141">
        <f t="shared" si="65"/>
        <v>2.4849999999999999</v>
      </c>
      <c r="K2083" s="141">
        <f t="shared" si="66"/>
        <v>65550.360000000088</v>
      </c>
    </row>
    <row r="2084" spans="1:11">
      <c r="A2084" s="141">
        <v>2084</v>
      </c>
      <c r="B2084" s="142">
        <v>44177</v>
      </c>
      <c r="C2084" s="149">
        <v>2.3000000000000007</v>
      </c>
      <c r="D2084" s="141">
        <v>22635.299999999977</v>
      </c>
      <c r="E2084" s="141"/>
      <c r="F2084" s="141"/>
      <c r="G2084" s="141"/>
      <c r="H2084" s="141"/>
      <c r="J2084" s="141">
        <f t="shared" si="65"/>
        <v>2.4549999999999996</v>
      </c>
      <c r="K2084" s="141">
        <f t="shared" si="66"/>
        <v>65609.280000000086</v>
      </c>
    </row>
    <row r="2085" spans="1:11">
      <c r="A2085" s="141">
        <v>2085</v>
      </c>
      <c r="B2085" s="142">
        <v>44178</v>
      </c>
      <c r="C2085" s="149">
        <v>3.8999999999999986</v>
      </c>
      <c r="D2085" s="141">
        <v>22639.199999999979</v>
      </c>
      <c r="E2085" s="141"/>
      <c r="F2085" s="141"/>
      <c r="G2085" s="141"/>
      <c r="H2085" s="141"/>
      <c r="J2085" s="141">
        <f t="shared" si="65"/>
        <v>2.2149999999999999</v>
      </c>
      <c r="K2085" s="141">
        <f t="shared" si="66"/>
        <v>65662.44000000009</v>
      </c>
    </row>
    <row r="2086" spans="1:11">
      <c r="A2086" s="141">
        <v>2086</v>
      </c>
      <c r="B2086" s="142">
        <v>44179</v>
      </c>
      <c r="C2086" s="149">
        <v>4.5</v>
      </c>
      <c r="D2086" s="141">
        <v>22643.699999999979</v>
      </c>
      <c r="E2086" s="141"/>
      <c r="F2086" s="141"/>
      <c r="G2086" s="141"/>
      <c r="H2086" s="141"/>
      <c r="J2086" s="141">
        <f t="shared" si="65"/>
        <v>2.125</v>
      </c>
      <c r="K2086" s="141">
        <f t="shared" si="66"/>
        <v>65713.44000000009</v>
      </c>
    </row>
    <row r="2087" spans="1:11">
      <c r="A2087" s="141">
        <v>2087</v>
      </c>
      <c r="B2087" s="142">
        <v>44180</v>
      </c>
      <c r="C2087" s="149">
        <v>3.3000000000000007</v>
      </c>
      <c r="D2087" s="141">
        <v>22646.999999999978</v>
      </c>
      <c r="E2087" s="141"/>
      <c r="F2087" s="141"/>
      <c r="G2087" s="141"/>
      <c r="H2087" s="141"/>
      <c r="J2087" s="141">
        <f t="shared" si="65"/>
        <v>2.3050000000000002</v>
      </c>
      <c r="K2087" s="141">
        <f t="shared" si="66"/>
        <v>65768.760000000097</v>
      </c>
    </row>
    <row r="2088" spans="1:11">
      <c r="A2088" s="141">
        <v>2088</v>
      </c>
      <c r="B2088" s="142">
        <v>44181</v>
      </c>
      <c r="C2088" s="115">
        <v>2.8999999999999986</v>
      </c>
      <c r="D2088" s="138">
        <v>22649.89999999998</v>
      </c>
      <c r="E2088" s="141"/>
      <c r="F2088" s="141"/>
      <c r="G2088" s="141"/>
      <c r="H2088" s="141"/>
      <c r="J2088" s="141">
        <f t="shared" si="65"/>
        <v>2.3650000000000002</v>
      </c>
      <c r="K2088" s="141">
        <f t="shared" si="66"/>
        <v>65825.520000000091</v>
      </c>
    </row>
    <row r="2089" spans="1:11">
      <c r="A2089" s="141">
        <v>2089</v>
      </c>
      <c r="B2089" s="142">
        <v>44182</v>
      </c>
      <c r="C2089" s="115">
        <v>2.1000000000000014</v>
      </c>
      <c r="D2089" s="141">
        <v>22651.999999999978</v>
      </c>
      <c r="E2089" s="141"/>
      <c r="F2089" s="141"/>
      <c r="G2089" s="141"/>
      <c r="H2089" s="141"/>
      <c r="J2089" s="141">
        <f t="shared" si="65"/>
        <v>2.4849999999999999</v>
      </c>
      <c r="K2089" s="141">
        <f t="shared" si="66"/>
        <v>65885.160000000091</v>
      </c>
    </row>
    <row r="2090" spans="1:11">
      <c r="A2090" s="141">
        <v>2090</v>
      </c>
      <c r="B2090" s="142">
        <v>44183</v>
      </c>
      <c r="C2090" s="115">
        <v>1.8999999999999986</v>
      </c>
      <c r="D2090" s="141">
        <v>22653.89999999998</v>
      </c>
      <c r="E2090" s="141"/>
      <c r="F2090" s="141"/>
      <c r="G2090" s="141"/>
      <c r="H2090" s="141"/>
      <c r="J2090" s="141">
        <f t="shared" si="65"/>
        <v>2.5150000000000001</v>
      </c>
      <c r="K2090" s="141">
        <f t="shared" si="66"/>
        <v>65945.520000000091</v>
      </c>
    </row>
    <row r="2091" spans="1:11">
      <c r="A2091" s="141">
        <v>2091</v>
      </c>
      <c r="B2091" s="142">
        <v>44184</v>
      </c>
      <c r="C2091" s="115">
        <v>1.5</v>
      </c>
      <c r="D2091" s="141">
        <v>22655.39999999998</v>
      </c>
      <c r="E2091" s="141"/>
      <c r="F2091" s="141"/>
      <c r="G2091" s="141"/>
      <c r="H2091" s="141"/>
      <c r="J2091" s="141">
        <f t="shared" si="65"/>
        <v>2.5750000000000002</v>
      </c>
      <c r="K2091" s="141">
        <f t="shared" si="66"/>
        <v>66007.320000000094</v>
      </c>
    </row>
    <row r="2092" spans="1:11">
      <c r="A2092" s="141">
        <v>2092</v>
      </c>
      <c r="B2092" s="142">
        <v>44185</v>
      </c>
      <c r="C2092" s="115">
        <v>1.6999999999999993</v>
      </c>
      <c r="D2092" s="141">
        <v>22657.09999999998</v>
      </c>
      <c r="E2092" s="141"/>
      <c r="F2092" s="141"/>
      <c r="G2092" s="141"/>
      <c r="H2092" s="141"/>
      <c r="J2092" s="141">
        <f t="shared" si="65"/>
        <v>2.5450000000000004</v>
      </c>
      <c r="K2092" s="141">
        <f t="shared" si="66"/>
        <v>66068.400000000096</v>
      </c>
    </row>
    <row r="2093" spans="1:11">
      <c r="A2093" s="141">
        <v>2093</v>
      </c>
      <c r="B2093" s="142">
        <v>44186</v>
      </c>
      <c r="C2093" s="115">
        <v>2.5</v>
      </c>
      <c r="D2093" s="141">
        <v>22659.59999999998</v>
      </c>
      <c r="E2093" s="141"/>
      <c r="F2093" s="141"/>
      <c r="G2093" s="141"/>
      <c r="H2093" s="141"/>
      <c r="J2093" s="141">
        <f t="shared" si="65"/>
        <v>2.4249999999999998</v>
      </c>
      <c r="K2093" s="141">
        <f t="shared" si="66"/>
        <v>66126.600000000093</v>
      </c>
    </row>
    <row r="2094" spans="1:11">
      <c r="A2094" s="141">
        <v>2094</v>
      </c>
      <c r="B2094" s="142">
        <v>44187</v>
      </c>
      <c r="C2094" s="115">
        <v>7.6000000000000014</v>
      </c>
      <c r="D2094" s="141">
        <v>22667.199999999979</v>
      </c>
      <c r="E2094" s="141"/>
      <c r="F2094" s="141"/>
      <c r="G2094" s="141"/>
      <c r="H2094" s="141"/>
      <c r="J2094" s="141">
        <f t="shared" si="65"/>
        <v>1.66</v>
      </c>
      <c r="K2094" s="141">
        <f t="shared" si="66"/>
        <v>66166.44000000009</v>
      </c>
    </row>
    <row r="2095" spans="1:11">
      <c r="A2095" s="141">
        <v>2095</v>
      </c>
      <c r="B2095" s="142">
        <v>44188</v>
      </c>
      <c r="C2095" s="115">
        <v>10.399999999999999</v>
      </c>
      <c r="D2095" s="141">
        <v>22677.59999999998</v>
      </c>
      <c r="E2095" s="141"/>
      <c r="F2095" s="141"/>
      <c r="G2095" s="141"/>
      <c r="H2095" s="141"/>
      <c r="J2095" s="141">
        <f t="shared" si="65"/>
        <v>1.2400000000000002</v>
      </c>
      <c r="K2095" s="141">
        <f t="shared" si="66"/>
        <v>66196.200000000084</v>
      </c>
    </row>
    <row r="2096" spans="1:11">
      <c r="A2096" s="141">
        <v>2096</v>
      </c>
      <c r="B2096" s="142">
        <v>44189</v>
      </c>
      <c r="C2096" s="115">
        <v>7.8999999999999986</v>
      </c>
      <c r="D2096" s="141">
        <v>22685.499999999982</v>
      </c>
      <c r="E2096" s="141"/>
      <c r="F2096" s="141"/>
      <c r="G2096" s="141"/>
      <c r="H2096" s="141"/>
      <c r="J2096" s="141">
        <f t="shared" si="65"/>
        <v>1.615</v>
      </c>
      <c r="K2096" s="141">
        <f t="shared" si="66"/>
        <v>66234.960000000079</v>
      </c>
    </row>
    <row r="2097" spans="1:11">
      <c r="A2097" s="141">
        <v>2097</v>
      </c>
      <c r="B2097" s="142">
        <v>44190</v>
      </c>
      <c r="C2097" s="115">
        <v>2.1000000000000014</v>
      </c>
      <c r="D2097" s="141">
        <v>22687.59999999998</v>
      </c>
      <c r="E2097" s="141"/>
      <c r="F2097" s="141"/>
      <c r="G2097" s="141"/>
      <c r="H2097" s="141"/>
      <c r="J2097" s="141">
        <f t="shared" si="65"/>
        <v>2.4849999999999999</v>
      </c>
      <c r="K2097" s="141">
        <f t="shared" si="66"/>
        <v>66294.600000000079</v>
      </c>
    </row>
    <row r="2098" spans="1:11">
      <c r="A2098" s="141">
        <v>2098</v>
      </c>
      <c r="B2098" s="142">
        <v>44191</v>
      </c>
      <c r="C2098" s="141">
        <v>0.39999999999999858</v>
      </c>
      <c r="D2098" s="141">
        <v>22687.999999999982</v>
      </c>
      <c r="E2098" s="141"/>
      <c r="F2098" s="141"/>
      <c r="G2098" s="141"/>
      <c r="H2098" s="141"/>
      <c r="J2098" s="141">
        <f t="shared" si="65"/>
        <v>2.74</v>
      </c>
      <c r="K2098" s="141">
        <f t="shared" si="66"/>
        <v>66360.360000000073</v>
      </c>
    </row>
    <row r="2099" spans="1:11">
      <c r="A2099" s="141">
        <v>2099</v>
      </c>
      <c r="B2099" s="142">
        <v>44192</v>
      </c>
      <c r="C2099" s="141">
        <v>-1.1999999999999993</v>
      </c>
      <c r="D2099" s="141">
        <v>22686.799999999981</v>
      </c>
      <c r="E2099" s="141"/>
      <c r="F2099" s="141"/>
      <c r="G2099" s="141"/>
      <c r="H2099" s="141"/>
      <c r="J2099" s="141">
        <f t="shared" si="65"/>
        <v>2.9799999999999995</v>
      </c>
      <c r="K2099" s="141">
        <f t="shared" si="66"/>
        <v>66431.880000000077</v>
      </c>
    </row>
    <row r="2100" spans="1:11">
      <c r="A2100" s="141">
        <v>2100</v>
      </c>
      <c r="B2100" s="142">
        <v>44193</v>
      </c>
      <c r="C2100" s="141">
        <v>1.1999999999999993</v>
      </c>
      <c r="D2100" s="141">
        <v>22687.999999999982</v>
      </c>
      <c r="E2100" s="141"/>
      <c r="F2100" s="141"/>
      <c r="G2100" s="141"/>
      <c r="H2100" s="141"/>
      <c r="J2100" s="141">
        <f t="shared" si="65"/>
        <v>2.62</v>
      </c>
      <c r="K2100" s="141">
        <f t="shared" si="66"/>
        <v>66494.760000000082</v>
      </c>
    </row>
    <row r="2101" spans="1:11">
      <c r="A2101" s="141">
        <v>2101</v>
      </c>
      <c r="B2101" s="142">
        <v>44194</v>
      </c>
      <c r="C2101" s="141">
        <v>2.8999999999999986</v>
      </c>
      <c r="D2101" s="141">
        <v>22690.899999999983</v>
      </c>
      <c r="E2101" s="141"/>
      <c r="F2101" s="141"/>
      <c r="G2101" s="141"/>
      <c r="H2101" s="141"/>
      <c r="J2101" s="141">
        <f t="shared" si="65"/>
        <v>2.3650000000000002</v>
      </c>
      <c r="K2101" s="141">
        <f t="shared" si="66"/>
        <v>66551.520000000077</v>
      </c>
    </row>
    <row r="2102" spans="1:11">
      <c r="A2102" s="141">
        <v>2102</v>
      </c>
      <c r="B2102" s="142">
        <v>44195</v>
      </c>
      <c r="C2102" s="141">
        <v>0.89999999999999858</v>
      </c>
      <c r="D2102" s="141">
        <v>22691.799999999985</v>
      </c>
      <c r="E2102" s="141"/>
      <c r="F2102" s="141"/>
      <c r="G2102" s="141"/>
      <c r="H2102" s="141"/>
      <c r="J2102" s="141">
        <f t="shared" si="65"/>
        <v>2.665</v>
      </c>
      <c r="K2102" s="141">
        <f t="shared" si="66"/>
        <v>66615.480000000083</v>
      </c>
    </row>
    <row r="2103" spans="1:11">
      <c r="A2103" s="141">
        <v>2103</v>
      </c>
      <c r="B2103" s="142">
        <v>44196</v>
      </c>
      <c r="C2103" s="141">
        <v>0.39999999999999858</v>
      </c>
      <c r="D2103" s="141">
        <v>22692.199999999986</v>
      </c>
      <c r="E2103" s="141"/>
      <c r="F2103" s="141"/>
      <c r="G2103" s="141"/>
      <c r="H2103" s="141"/>
      <c r="J2103" s="141">
        <f t="shared" si="65"/>
        <v>2.74</v>
      </c>
      <c r="K2103" s="141">
        <f t="shared" si="66"/>
        <v>66681.240000000078</v>
      </c>
    </row>
    <row r="2104" spans="1:11">
      <c r="A2104" s="141">
        <v>2104</v>
      </c>
      <c r="B2104" s="142">
        <v>44197</v>
      </c>
      <c r="C2104" s="115">
        <v>-1.3999999999999986</v>
      </c>
      <c r="D2104" s="141">
        <v>22690.799999999985</v>
      </c>
      <c r="E2104" s="141"/>
      <c r="F2104" s="141"/>
      <c r="G2104" s="141"/>
      <c r="H2104" s="141"/>
      <c r="J2104" s="141">
        <f t="shared" si="65"/>
        <v>3.01</v>
      </c>
      <c r="K2104" s="141">
        <f t="shared" si="66"/>
        <v>66753.480000000083</v>
      </c>
    </row>
    <row r="2105" spans="1:11">
      <c r="A2105" s="141">
        <v>2105</v>
      </c>
      <c r="B2105" s="142">
        <v>44198</v>
      </c>
      <c r="C2105" s="115">
        <v>-1.6999999999999993</v>
      </c>
      <c r="D2105" s="141">
        <v>22689.099999999984</v>
      </c>
      <c r="E2105" s="141"/>
      <c r="F2105" s="141"/>
      <c r="G2105" s="141"/>
      <c r="H2105" s="141"/>
      <c r="J2105" s="141">
        <f t="shared" si="65"/>
        <v>3.0549999999999997</v>
      </c>
      <c r="K2105" s="141">
        <f t="shared" si="66"/>
        <v>66826.80000000009</v>
      </c>
    </row>
    <row r="2106" spans="1:11">
      <c r="A2106" s="141">
        <v>2106</v>
      </c>
      <c r="B2106" s="142">
        <v>44199</v>
      </c>
      <c r="C2106" s="115">
        <v>1.6999999999999993</v>
      </c>
      <c r="D2106" s="141">
        <v>22690.799999999985</v>
      </c>
      <c r="E2106" s="141"/>
      <c r="F2106" s="141"/>
      <c r="G2106" s="141"/>
      <c r="H2106" s="141"/>
      <c r="J2106" s="141">
        <f t="shared" si="65"/>
        <v>2.5450000000000004</v>
      </c>
      <c r="K2106" s="141">
        <f t="shared" si="66"/>
        <v>66887.880000000092</v>
      </c>
    </row>
    <row r="2107" spans="1:11">
      <c r="A2107" s="141">
        <v>2107</v>
      </c>
      <c r="B2107" s="142">
        <v>44200</v>
      </c>
      <c r="C2107" s="115">
        <v>2.5</v>
      </c>
      <c r="D2107" s="141">
        <v>22693.299999999985</v>
      </c>
      <c r="E2107" s="141"/>
      <c r="F2107" s="141"/>
      <c r="G2107" s="141"/>
      <c r="H2107" s="141"/>
      <c r="J2107" s="141">
        <f t="shared" si="65"/>
        <v>2.4249999999999998</v>
      </c>
      <c r="K2107" s="141">
        <f t="shared" si="66"/>
        <v>66946.080000000089</v>
      </c>
    </row>
    <row r="2108" spans="1:11">
      <c r="A2108" s="141">
        <v>2108</v>
      </c>
      <c r="B2108" s="142">
        <v>44201</v>
      </c>
      <c r="C2108" s="115">
        <v>1.1999999999999993</v>
      </c>
      <c r="D2108" s="141">
        <v>22694.499999999985</v>
      </c>
      <c r="E2108" s="141"/>
      <c r="F2108" s="141"/>
      <c r="G2108" s="141"/>
      <c r="H2108" s="141"/>
      <c r="J2108" s="141">
        <f t="shared" si="65"/>
        <v>2.62</v>
      </c>
      <c r="K2108" s="141">
        <f t="shared" si="66"/>
        <v>67008.960000000094</v>
      </c>
    </row>
    <row r="2109" spans="1:11">
      <c r="A2109" s="141">
        <v>2109</v>
      </c>
      <c r="B2109" s="142">
        <v>44202</v>
      </c>
      <c r="C2109" s="115">
        <v>0.19999999999999929</v>
      </c>
      <c r="D2109" s="141">
        <v>22694.699999999986</v>
      </c>
      <c r="E2109" s="141"/>
      <c r="F2109" s="141"/>
      <c r="G2109" s="141"/>
      <c r="H2109" s="141"/>
      <c r="J2109" s="141">
        <f t="shared" si="65"/>
        <v>2.7700000000000005</v>
      </c>
      <c r="K2109" s="141">
        <f t="shared" si="66"/>
        <v>67075.44000000009</v>
      </c>
    </row>
    <row r="2110" spans="1:11">
      <c r="A2110" s="141">
        <v>2110</v>
      </c>
      <c r="B2110" s="142">
        <v>44203</v>
      </c>
      <c r="C2110" s="115">
        <v>0</v>
      </c>
      <c r="D2110" s="141">
        <v>22694.699999999986</v>
      </c>
      <c r="E2110" s="141"/>
      <c r="F2110" s="141"/>
      <c r="G2110" s="141"/>
      <c r="H2110" s="141"/>
      <c r="J2110" s="141">
        <f t="shared" si="65"/>
        <v>2.8</v>
      </c>
      <c r="K2110" s="141">
        <f t="shared" si="66"/>
        <v>67142.640000000087</v>
      </c>
    </row>
    <row r="2111" spans="1:11">
      <c r="A2111" s="141">
        <v>2111</v>
      </c>
      <c r="B2111" s="142">
        <v>44204</v>
      </c>
      <c r="C2111" s="115">
        <v>-0.10000000000000142</v>
      </c>
      <c r="D2111" s="141">
        <v>22694.599999999988</v>
      </c>
      <c r="E2111" s="141"/>
      <c r="F2111" s="141"/>
      <c r="G2111" s="141"/>
      <c r="H2111" s="141"/>
      <c r="J2111" s="141">
        <f t="shared" si="65"/>
        <v>2.8149999999999999</v>
      </c>
      <c r="K2111" s="141">
        <f t="shared" si="66"/>
        <v>67210.200000000084</v>
      </c>
    </row>
    <row r="2112" spans="1:11">
      <c r="A2112" s="141">
        <v>2112</v>
      </c>
      <c r="B2112" s="142">
        <v>44205</v>
      </c>
      <c r="C2112" s="115">
        <v>-0.39999999999999858</v>
      </c>
      <c r="D2112" s="141">
        <v>22694.199999999986</v>
      </c>
      <c r="E2112" s="141"/>
      <c r="F2112" s="141"/>
      <c r="G2112" s="141"/>
      <c r="H2112" s="141"/>
      <c r="J2112" s="141">
        <f t="shared" si="65"/>
        <v>2.86</v>
      </c>
      <c r="K2112" s="141">
        <f t="shared" si="66"/>
        <v>67278.840000000084</v>
      </c>
    </row>
    <row r="2113" spans="1:11">
      <c r="A2113" s="141">
        <v>2113</v>
      </c>
      <c r="B2113" s="142">
        <v>44206</v>
      </c>
      <c r="C2113" s="115">
        <v>-0.69999999999999929</v>
      </c>
      <c r="D2113" s="141">
        <v>22693.499999999985</v>
      </c>
      <c r="E2113" s="141"/>
      <c r="F2113" s="141"/>
      <c r="G2113" s="141"/>
      <c r="H2113" s="141"/>
      <c r="J2113" s="141">
        <f t="shared" si="65"/>
        <v>2.9049999999999998</v>
      </c>
      <c r="K2113" s="141">
        <f t="shared" si="66"/>
        <v>67348.560000000085</v>
      </c>
    </row>
    <row r="2114" spans="1:11">
      <c r="A2114" s="141">
        <v>2114</v>
      </c>
      <c r="B2114" s="142">
        <v>44207</v>
      </c>
      <c r="C2114" s="141">
        <v>-2.8999999999999986</v>
      </c>
      <c r="D2114" s="141">
        <v>22690.599999999984</v>
      </c>
      <c r="E2114" s="141"/>
      <c r="F2114" s="141"/>
      <c r="G2114" s="141"/>
      <c r="H2114" s="141"/>
      <c r="J2114" s="141">
        <f t="shared" si="65"/>
        <v>3.2349999999999999</v>
      </c>
      <c r="K2114" s="141">
        <f t="shared" si="66"/>
        <v>67426.200000000084</v>
      </c>
    </row>
    <row r="2115" spans="1:11">
      <c r="A2115" s="141">
        <v>2115</v>
      </c>
      <c r="B2115" s="142">
        <v>44208</v>
      </c>
      <c r="C2115" s="141">
        <v>-0.60000000000000142</v>
      </c>
      <c r="D2115" s="141">
        <v>22689.999999999985</v>
      </c>
      <c r="E2115" s="141"/>
      <c r="F2115" s="141"/>
      <c r="G2115" s="141"/>
      <c r="H2115" s="141"/>
      <c r="J2115" s="141">
        <f t="shared" si="65"/>
        <v>2.89</v>
      </c>
      <c r="K2115" s="141">
        <f t="shared" si="66"/>
        <v>67495.560000000085</v>
      </c>
    </row>
    <row r="2116" spans="1:11">
      <c r="A2116" s="141">
        <v>2116</v>
      </c>
      <c r="B2116" s="142">
        <v>44209</v>
      </c>
      <c r="C2116" s="141">
        <v>0.69999999999999929</v>
      </c>
      <c r="D2116" s="141">
        <v>22690.699999999986</v>
      </c>
      <c r="E2116" s="141"/>
      <c r="F2116" s="141"/>
      <c r="G2116" s="141"/>
      <c r="H2116" s="141"/>
      <c r="J2116" s="141">
        <f t="shared" si="65"/>
        <v>2.6950000000000003</v>
      </c>
      <c r="K2116" s="141">
        <f t="shared" si="66"/>
        <v>67560.240000000078</v>
      </c>
    </row>
    <row r="2117" spans="1:11">
      <c r="A2117" s="141">
        <v>2117</v>
      </c>
      <c r="B2117" s="142">
        <v>44210</v>
      </c>
      <c r="C2117" s="141">
        <v>-0.39999999999999858</v>
      </c>
      <c r="D2117" s="141">
        <v>22690.299999999985</v>
      </c>
      <c r="E2117" s="141"/>
      <c r="F2117" s="141"/>
      <c r="G2117" s="141"/>
      <c r="H2117" s="141"/>
      <c r="J2117" s="141">
        <f t="shared" si="65"/>
        <v>2.86</v>
      </c>
      <c r="K2117" s="141">
        <f t="shared" si="66"/>
        <v>67628.880000000077</v>
      </c>
    </row>
    <row r="2118" spans="1:11">
      <c r="A2118" s="141">
        <v>2118</v>
      </c>
      <c r="B2118" s="142">
        <v>44211</v>
      </c>
      <c r="C2118" s="141">
        <v>-1.1000000000000014</v>
      </c>
      <c r="D2118" s="141">
        <v>22689.199999999986</v>
      </c>
      <c r="E2118" s="141"/>
      <c r="F2118" s="141"/>
      <c r="G2118" s="141"/>
      <c r="H2118" s="141"/>
      <c r="J2118" s="141">
        <f t="shared" si="65"/>
        <v>2.9650000000000003</v>
      </c>
      <c r="K2118" s="141">
        <f t="shared" si="66"/>
        <v>67700.040000000081</v>
      </c>
    </row>
    <row r="2119" spans="1:11">
      <c r="A2119" s="141">
        <v>2119</v>
      </c>
      <c r="B2119" s="142">
        <v>44212</v>
      </c>
      <c r="C2119" s="141">
        <v>-4.3999999999999986</v>
      </c>
      <c r="D2119" s="141">
        <v>22684.799999999985</v>
      </c>
      <c r="E2119" s="141"/>
      <c r="F2119" s="141"/>
      <c r="G2119" s="141"/>
      <c r="H2119" s="141"/>
      <c r="J2119" s="141">
        <f t="shared" ref="J2119:J2182" si="67">J$1+(IF(J$3-$C2119&gt;0,J$3-$C2119,0)*J$2/30)</f>
        <v>3.46</v>
      </c>
      <c r="K2119" s="141">
        <f t="shared" ref="K2119:K2182" si="68">K2118+J2119*24</f>
        <v>67783.080000000075</v>
      </c>
    </row>
    <row r="2120" spans="1:11">
      <c r="A2120" s="141">
        <v>2120</v>
      </c>
      <c r="B2120" s="142">
        <v>44213</v>
      </c>
      <c r="C2120" s="141">
        <v>-4.5</v>
      </c>
      <c r="D2120" s="141">
        <v>22680.299999999985</v>
      </c>
      <c r="E2120" s="141"/>
      <c r="F2120" s="141"/>
      <c r="G2120" s="141"/>
      <c r="H2120" s="141"/>
      <c r="J2120" s="141">
        <f t="shared" si="67"/>
        <v>3.4750000000000001</v>
      </c>
      <c r="K2120" s="141">
        <f t="shared" si="68"/>
        <v>67866.480000000069</v>
      </c>
    </row>
    <row r="2121" spans="1:11">
      <c r="A2121" s="141">
        <v>2121</v>
      </c>
      <c r="B2121" s="142">
        <v>44214</v>
      </c>
      <c r="C2121" s="141">
        <v>-2</v>
      </c>
      <c r="D2121" s="141">
        <v>22678.299999999985</v>
      </c>
      <c r="E2121" s="141"/>
      <c r="F2121" s="141"/>
      <c r="G2121" s="141"/>
      <c r="H2121" s="141"/>
      <c r="J2121" s="141">
        <f t="shared" si="67"/>
        <v>3.1</v>
      </c>
      <c r="K2121" s="141">
        <f t="shared" si="68"/>
        <v>67940.880000000063</v>
      </c>
    </row>
    <row r="2122" spans="1:11">
      <c r="A2122" s="141">
        <v>2122</v>
      </c>
      <c r="B2122" s="142">
        <v>44215</v>
      </c>
      <c r="C2122" s="141">
        <v>2</v>
      </c>
      <c r="D2122" s="141">
        <v>22680.299999999985</v>
      </c>
      <c r="E2122" s="141"/>
      <c r="F2122" s="141"/>
      <c r="G2122" s="141"/>
      <c r="H2122" s="141"/>
      <c r="J2122" s="141">
        <f t="shared" si="67"/>
        <v>2.5</v>
      </c>
      <c r="K2122" s="141">
        <f t="shared" si="68"/>
        <v>68000.880000000063</v>
      </c>
    </row>
    <row r="2123" spans="1:11">
      <c r="A2123" s="141">
        <v>2123</v>
      </c>
      <c r="B2123" s="142">
        <v>44216</v>
      </c>
      <c r="C2123" s="141">
        <v>4.3999999999999986</v>
      </c>
      <c r="D2123" s="141">
        <v>22684.699999999986</v>
      </c>
      <c r="E2123" s="141"/>
      <c r="F2123" s="141"/>
      <c r="G2123" s="141"/>
      <c r="H2123" s="141"/>
      <c r="J2123" s="141">
        <f t="shared" si="67"/>
        <v>2.14</v>
      </c>
      <c r="K2123" s="141">
        <f t="shared" si="68"/>
        <v>68052.240000000063</v>
      </c>
    </row>
    <row r="2124" spans="1:11">
      <c r="A2124" s="141">
        <v>2124</v>
      </c>
      <c r="B2124" s="142">
        <v>44217</v>
      </c>
      <c r="C2124" s="141">
        <v>2.1999999999999993</v>
      </c>
      <c r="D2124" s="141">
        <v>22686.899999999987</v>
      </c>
      <c r="E2124" s="141"/>
      <c r="F2124" s="141"/>
      <c r="G2124" s="141"/>
      <c r="H2124" s="141"/>
      <c r="J2124" s="141">
        <f t="shared" si="67"/>
        <v>2.4700000000000002</v>
      </c>
      <c r="K2124" s="141">
        <f t="shared" si="68"/>
        <v>68111.520000000062</v>
      </c>
    </row>
    <row r="2125" spans="1:11">
      <c r="A2125" s="141">
        <v>2125</v>
      </c>
      <c r="B2125" s="142">
        <v>44218</v>
      </c>
      <c r="C2125" s="141">
        <v>6.1000000000000014</v>
      </c>
      <c r="D2125" s="141">
        <v>22692.999999999985</v>
      </c>
      <c r="E2125" s="141"/>
      <c r="F2125" s="141"/>
      <c r="G2125" s="141"/>
      <c r="H2125" s="141"/>
      <c r="J2125" s="141">
        <f t="shared" si="67"/>
        <v>1.885</v>
      </c>
      <c r="K2125" s="141">
        <f t="shared" si="68"/>
        <v>68156.760000000068</v>
      </c>
    </row>
    <row r="2126" spans="1:11">
      <c r="A2126" s="141">
        <v>2126</v>
      </c>
      <c r="B2126" s="142">
        <v>44219</v>
      </c>
      <c r="C2126" s="141">
        <v>2.6000000000000014</v>
      </c>
      <c r="D2126" s="141">
        <v>22695.599999999984</v>
      </c>
      <c r="E2126" s="141"/>
      <c r="F2126" s="141"/>
      <c r="G2126" s="141"/>
      <c r="H2126" s="141"/>
      <c r="J2126" s="141">
        <f t="shared" si="67"/>
        <v>2.4099999999999997</v>
      </c>
      <c r="K2126" s="141">
        <f t="shared" si="68"/>
        <v>68214.600000000064</v>
      </c>
    </row>
    <row r="2127" spans="1:11">
      <c r="A2127" s="141">
        <v>2127</v>
      </c>
      <c r="B2127" s="142">
        <v>44220</v>
      </c>
      <c r="C2127" s="141">
        <v>0.69999999999999929</v>
      </c>
      <c r="D2127" s="141">
        <v>22696.299999999985</v>
      </c>
      <c r="E2127" s="141"/>
      <c r="F2127" s="141"/>
      <c r="G2127" s="141"/>
      <c r="H2127" s="141"/>
      <c r="J2127" s="141">
        <f t="shared" si="67"/>
        <v>2.6950000000000003</v>
      </c>
      <c r="K2127" s="141">
        <f t="shared" si="68"/>
        <v>68279.280000000057</v>
      </c>
    </row>
    <row r="2128" spans="1:11">
      <c r="A2128" s="141">
        <v>2128</v>
      </c>
      <c r="B2128" s="142">
        <v>44221</v>
      </c>
      <c r="C2128" s="141">
        <v>0.60000000000000142</v>
      </c>
      <c r="D2128" s="141">
        <v>22696.899999999983</v>
      </c>
      <c r="E2128" s="141"/>
      <c r="F2128" s="141"/>
      <c r="G2128" s="141"/>
      <c r="H2128" s="141"/>
      <c r="J2128" s="141">
        <f t="shared" si="67"/>
        <v>2.71</v>
      </c>
      <c r="K2128" s="141">
        <f t="shared" si="68"/>
        <v>68344.320000000051</v>
      </c>
    </row>
    <row r="2129" spans="1:11">
      <c r="A2129" s="141">
        <v>2129</v>
      </c>
      <c r="B2129" s="142">
        <v>44222</v>
      </c>
      <c r="C2129" s="141">
        <v>-0.89999999999999858</v>
      </c>
      <c r="D2129" s="141">
        <v>22695.999999999982</v>
      </c>
      <c r="E2129" s="141"/>
      <c r="F2129" s="141"/>
      <c r="G2129" s="141"/>
      <c r="H2129" s="141"/>
      <c r="J2129" s="141">
        <f t="shared" si="67"/>
        <v>2.9350000000000001</v>
      </c>
      <c r="K2129" s="141">
        <f t="shared" si="68"/>
        <v>68414.760000000053</v>
      </c>
    </row>
    <row r="2130" spans="1:11">
      <c r="A2130" s="141">
        <v>2130</v>
      </c>
      <c r="B2130" s="142">
        <v>44223</v>
      </c>
      <c r="C2130" s="141">
        <v>-0.30000000000000071</v>
      </c>
      <c r="D2130" s="141">
        <v>22695.699999999983</v>
      </c>
      <c r="E2130" s="141"/>
      <c r="F2130" s="141"/>
      <c r="G2130" s="141"/>
      <c r="H2130" s="141"/>
      <c r="J2130" s="141">
        <f t="shared" si="67"/>
        <v>2.8450000000000002</v>
      </c>
      <c r="K2130" s="141">
        <f t="shared" si="68"/>
        <v>68483.040000000052</v>
      </c>
    </row>
    <row r="2131" spans="1:11">
      <c r="A2131" s="141">
        <v>2131</v>
      </c>
      <c r="B2131" s="142">
        <v>44224</v>
      </c>
      <c r="C2131" s="141">
        <v>1.1999999999999993</v>
      </c>
      <c r="D2131" s="141">
        <v>22696.899999999983</v>
      </c>
      <c r="E2131" s="141"/>
      <c r="F2131" s="141"/>
      <c r="G2131" s="141"/>
      <c r="H2131" s="141"/>
      <c r="J2131" s="141">
        <f t="shared" si="67"/>
        <v>2.62</v>
      </c>
      <c r="K2131" s="141">
        <f t="shared" si="68"/>
        <v>68545.920000000056</v>
      </c>
    </row>
    <row r="2132" spans="1:11">
      <c r="A2132" s="141">
        <v>2132</v>
      </c>
      <c r="B2132" s="142">
        <v>44225</v>
      </c>
      <c r="C2132" s="141">
        <v>0.60000000000000142</v>
      </c>
      <c r="D2132" s="141">
        <v>22697.499999999982</v>
      </c>
      <c r="E2132" s="141"/>
      <c r="F2132" s="141"/>
      <c r="G2132" s="141"/>
      <c r="H2132" s="141"/>
      <c r="J2132" s="141">
        <f t="shared" si="67"/>
        <v>2.71</v>
      </c>
      <c r="K2132" s="141">
        <f t="shared" si="68"/>
        <v>68610.96000000005</v>
      </c>
    </row>
    <row r="2133" spans="1:11">
      <c r="A2133" s="141">
        <v>2133</v>
      </c>
      <c r="B2133" s="142">
        <v>44226</v>
      </c>
      <c r="C2133" s="141">
        <v>1</v>
      </c>
      <c r="D2133" s="141">
        <v>22698.499999999982</v>
      </c>
      <c r="E2133" s="141"/>
      <c r="F2133" s="141"/>
      <c r="G2133" s="141"/>
      <c r="H2133" s="141"/>
      <c r="J2133" s="141">
        <f t="shared" si="67"/>
        <v>2.65</v>
      </c>
      <c r="K2133" s="141">
        <f t="shared" si="68"/>
        <v>68674.560000000056</v>
      </c>
    </row>
    <row r="2134" spans="1:11">
      <c r="A2134" s="141">
        <v>2134</v>
      </c>
      <c r="B2134" s="142">
        <v>44227</v>
      </c>
      <c r="C2134" s="141">
        <v>-3.5</v>
      </c>
      <c r="D2134" s="141">
        <v>22694.999999999982</v>
      </c>
      <c r="E2134" s="141"/>
      <c r="F2134" s="141"/>
      <c r="G2134" s="141"/>
      <c r="H2134" s="141"/>
      <c r="J2134" s="141">
        <f t="shared" si="67"/>
        <v>3.3250000000000002</v>
      </c>
      <c r="K2134" s="141">
        <f t="shared" si="68"/>
        <v>68754.360000000059</v>
      </c>
    </row>
    <row r="2135" spans="1:11">
      <c r="A2135" s="141">
        <v>2135</v>
      </c>
      <c r="B2135" s="142">
        <v>44228</v>
      </c>
      <c r="C2135" s="141">
        <v>-2.5</v>
      </c>
      <c r="D2135" s="141">
        <v>22692.499999999982</v>
      </c>
      <c r="E2135" s="141"/>
      <c r="F2135" s="141"/>
      <c r="G2135" s="141"/>
      <c r="H2135" s="141"/>
      <c r="J2135" s="141">
        <f t="shared" si="67"/>
        <v>3.1749999999999998</v>
      </c>
      <c r="K2135" s="141">
        <f t="shared" si="68"/>
        <v>68830.560000000056</v>
      </c>
    </row>
    <row r="2136" spans="1:11">
      <c r="A2136" s="141">
        <v>2136</v>
      </c>
      <c r="B2136" s="142">
        <v>44229</v>
      </c>
      <c r="C2136" s="141">
        <v>3.8000000000000007</v>
      </c>
      <c r="D2136" s="141">
        <v>22696.299999999981</v>
      </c>
      <c r="E2136" s="141"/>
      <c r="F2136" s="141"/>
      <c r="G2136" s="141"/>
      <c r="H2136" s="141"/>
      <c r="J2136" s="141">
        <f t="shared" si="67"/>
        <v>2.23</v>
      </c>
      <c r="K2136" s="141">
        <f t="shared" si="68"/>
        <v>68884.08000000006</v>
      </c>
    </row>
    <row r="2137" spans="1:11">
      <c r="A2137" s="141">
        <v>2137</v>
      </c>
      <c r="B2137" s="142">
        <v>44230</v>
      </c>
      <c r="C2137" s="141">
        <v>8.1999999999999993</v>
      </c>
      <c r="D2137" s="141">
        <v>22704.499999999982</v>
      </c>
      <c r="E2137" s="141"/>
      <c r="F2137" s="141"/>
      <c r="G2137" s="141"/>
      <c r="H2137" s="141"/>
      <c r="J2137" s="141">
        <f t="shared" si="67"/>
        <v>1.57</v>
      </c>
      <c r="K2137" s="141">
        <f t="shared" si="68"/>
        <v>68921.760000000053</v>
      </c>
    </row>
    <row r="2138" spans="1:11">
      <c r="A2138" s="141">
        <v>2138</v>
      </c>
      <c r="B2138" s="142">
        <v>44231</v>
      </c>
      <c r="C2138" s="141">
        <v>7</v>
      </c>
      <c r="D2138" s="141">
        <v>22711.499999999982</v>
      </c>
      <c r="E2138" s="141"/>
      <c r="F2138" s="141"/>
      <c r="G2138" s="141"/>
      <c r="H2138" s="141"/>
      <c r="J2138" s="141">
        <f t="shared" si="67"/>
        <v>1.75</v>
      </c>
      <c r="K2138" s="141">
        <f t="shared" si="68"/>
        <v>68963.760000000053</v>
      </c>
    </row>
    <row r="2139" spans="1:11">
      <c r="A2139" s="141">
        <v>2139</v>
      </c>
      <c r="B2139" s="142">
        <v>44232</v>
      </c>
      <c r="C2139" s="141">
        <v>1.8000000000000007</v>
      </c>
      <c r="D2139" s="141">
        <v>22713.299999999981</v>
      </c>
      <c r="E2139" s="141"/>
      <c r="F2139" s="141"/>
      <c r="G2139" s="141"/>
      <c r="H2139" s="141"/>
      <c r="J2139" s="141">
        <f t="shared" si="67"/>
        <v>2.5299999999999998</v>
      </c>
      <c r="K2139" s="141">
        <f t="shared" si="68"/>
        <v>69024.480000000054</v>
      </c>
    </row>
    <row r="2140" spans="1:11">
      <c r="A2140" s="141">
        <v>2140</v>
      </c>
      <c r="B2140" s="142">
        <v>44233</v>
      </c>
      <c r="C2140" s="141">
        <v>0.10000000000000142</v>
      </c>
      <c r="D2140" s="141">
        <v>22713.39999999998</v>
      </c>
      <c r="E2140" s="141"/>
      <c r="F2140" s="141"/>
      <c r="G2140" s="141"/>
      <c r="H2140" s="141"/>
      <c r="J2140" s="141">
        <f t="shared" si="67"/>
        <v>2.7849999999999997</v>
      </c>
      <c r="K2140" s="141">
        <f t="shared" si="68"/>
        <v>69091.320000000051</v>
      </c>
    </row>
    <row r="2141" spans="1:11">
      <c r="A2141" s="141">
        <v>2141</v>
      </c>
      <c r="B2141" s="142">
        <v>44234</v>
      </c>
      <c r="C2141" s="141">
        <v>-4.5</v>
      </c>
      <c r="D2141" s="141">
        <v>22708.89999999998</v>
      </c>
      <c r="E2141" s="141"/>
      <c r="F2141" s="141"/>
      <c r="G2141" s="141"/>
      <c r="H2141" s="141"/>
      <c r="J2141" s="141">
        <f t="shared" si="67"/>
        <v>3.4750000000000001</v>
      </c>
      <c r="K2141" s="141">
        <f t="shared" si="68"/>
        <v>69174.720000000045</v>
      </c>
    </row>
    <row r="2142" spans="1:11">
      <c r="A2142" s="141">
        <v>2142</v>
      </c>
      <c r="B2142" s="142">
        <v>44235</v>
      </c>
      <c r="C2142" s="141">
        <v>-7</v>
      </c>
      <c r="D2142" s="141">
        <v>22701.89999999998</v>
      </c>
      <c r="E2142" s="141"/>
      <c r="F2142" s="141"/>
      <c r="G2142" s="141"/>
      <c r="H2142" s="141"/>
      <c r="J2142" s="141">
        <f t="shared" si="67"/>
        <v>3.85</v>
      </c>
      <c r="K2142" s="141">
        <f t="shared" si="68"/>
        <v>69267.120000000039</v>
      </c>
    </row>
    <row r="2143" spans="1:11">
      <c r="A2143" s="141">
        <v>2143</v>
      </c>
      <c r="B2143" s="142">
        <v>44236</v>
      </c>
      <c r="C2143" s="141">
        <v>-8</v>
      </c>
      <c r="D2143" s="141">
        <v>22693.89999999998</v>
      </c>
      <c r="E2143" s="141"/>
      <c r="F2143" s="141"/>
      <c r="G2143" s="141"/>
      <c r="H2143" s="141"/>
      <c r="J2143" s="141">
        <f t="shared" si="67"/>
        <v>4</v>
      </c>
      <c r="K2143" s="141">
        <f t="shared" si="68"/>
        <v>69363.120000000039</v>
      </c>
    </row>
    <row r="2144" spans="1:11">
      <c r="A2144" s="141">
        <v>2144</v>
      </c>
      <c r="B2144" s="142">
        <v>44237</v>
      </c>
      <c r="C2144" s="141">
        <v>-9.7000000000000028</v>
      </c>
      <c r="D2144" s="141">
        <v>22684.199999999979</v>
      </c>
      <c r="E2144" s="141"/>
      <c r="F2144" s="141"/>
      <c r="G2144" s="141"/>
      <c r="H2144" s="141"/>
      <c r="J2144" s="141">
        <f t="shared" si="67"/>
        <v>4.2549999999999999</v>
      </c>
      <c r="K2144" s="141">
        <f t="shared" si="68"/>
        <v>69465.240000000034</v>
      </c>
    </row>
    <row r="2145" spans="1:16">
      <c r="A2145" s="141">
        <v>2145</v>
      </c>
      <c r="B2145" s="142">
        <v>44238</v>
      </c>
      <c r="C2145" s="115">
        <v>-7.3999999999999986</v>
      </c>
      <c r="D2145" s="141">
        <v>22676.799999999977</v>
      </c>
      <c r="E2145" s="141"/>
      <c r="F2145" s="141"/>
      <c r="G2145" s="141"/>
      <c r="H2145" s="141"/>
      <c r="J2145" s="141">
        <f t="shared" si="67"/>
        <v>3.9099999999999997</v>
      </c>
      <c r="K2145" s="141">
        <f t="shared" si="68"/>
        <v>69559.080000000031</v>
      </c>
    </row>
    <row r="2146" spans="1:16">
      <c r="A2146" s="141">
        <v>2146</v>
      </c>
      <c r="B2146" s="142">
        <v>44239</v>
      </c>
      <c r="C2146" s="115">
        <v>-9.1000000000000014</v>
      </c>
      <c r="D2146" s="141">
        <v>22667.699999999979</v>
      </c>
      <c r="E2146" s="141"/>
      <c r="F2146" s="141"/>
      <c r="G2146" s="141"/>
      <c r="H2146" s="141"/>
      <c r="J2146" s="141">
        <f t="shared" si="67"/>
        <v>4.165</v>
      </c>
      <c r="K2146" s="141">
        <f t="shared" si="68"/>
        <v>69659.040000000037</v>
      </c>
    </row>
    <row r="2147" spans="1:16">
      <c r="A2147" s="141">
        <v>2147</v>
      </c>
      <c r="B2147" s="142">
        <v>44240</v>
      </c>
      <c r="C2147" s="115">
        <v>-7.2999999999999972</v>
      </c>
      <c r="D2147" s="141">
        <v>22660.39999999998</v>
      </c>
      <c r="E2147" s="141"/>
      <c r="F2147" s="141"/>
      <c r="G2147" s="141"/>
      <c r="H2147" s="141"/>
      <c r="J2147" s="141">
        <f t="shared" si="67"/>
        <v>3.895</v>
      </c>
      <c r="K2147" s="141">
        <f t="shared" si="68"/>
        <v>69752.520000000033</v>
      </c>
    </row>
    <row r="2148" spans="1:16">
      <c r="A2148" s="141">
        <v>2148</v>
      </c>
      <c r="B2148" s="142">
        <v>44241</v>
      </c>
      <c r="C2148" s="115">
        <v>-8.8999999999999986</v>
      </c>
      <c r="D2148" s="141">
        <v>22651.499999999978</v>
      </c>
      <c r="E2148" s="141"/>
      <c r="F2148" s="141"/>
      <c r="G2148" s="141"/>
      <c r="H2148" s="141"/>
      <c r="J2148" s="141">
        <f t="shared" si="67"/>
        <v>4.1349999999999998</v>
      </c>
      <c r="K2148" s="141">
        <f t="shared" si="68"/>
        <v>69851.760000000038</v>
      </c>
    </row>
    <row r="2149" spans="1:16">
      <c r="A2149" s="141">
        <v>2149</v>
      </c>
      <c r="B2149" s="142">
        <v>44242</v>
      </c>
      <c r="C2149" s="115">
        <v>-11.5</v>
      </c>
      <c r="D2149" s="141">
        <v>22639.999999999978</v>
      </c>
      <c r="E2149" s="141"/>
      <c r="F2149" s="141"/>
      <c r="G2149" s="141"/>
      <c r="H2149" s="141"/>
      <c r="J2149" s="141">
        <f t="shared" si="67"/>
        <v>4.5250000000000004</v>
      </c>
      <c r="K2149" s="141">
        <f t="shared" si="68"/>
        <v>69960.360000000044</v>
      </c>
    </row>
    <row r="2150" spans="1:16">
      <c r="A2150" s="141">
        <v>2150</v>
      </c>
      <c r="B2150" s="142">
        <v>44243</v>
      </c>
      <c r="C2150" s="115">
        <v>-2.5</v>
      </c>
      <c r="D2150" s="141">
        <v>22637.499999999978</v>
      </c>
      <c r="E2150" s="141"/>
      <c r="F2150" s="141"/>
      <c r="G2150" s="141"/>
      <c r="H2150" s="141"/>
      <c r="J2150" s="141">
        <f t="shared" si="67"/>
        <v>3.1749999999999998</v>
      </c>
      <c r="K2150" s="141">
        <f t="shared" si="68"/>
        <v>70036.560000000041</v>
      </c>
    </row>
    <row r="2151" spans="1:16">
      <c r="A2151" s="141">
        <v>2151</v>
      </c>
      <c r="B2151" s="142">
        <v>44244</v>
      </c>
      <c r="C2151" s="115">
        <v>3.5</v>
      </c>
      <c r="D2151" s="141">
        <v>22640.999999999978</v>
      </c>
      <c r="E2151" s="141"/>
      <c r="F2151" s="141"/>
      <c r="G2151" s="141"/>
      <c r="H2151" s="141"/>
      <c r="J2151" s="141">
        <f t="shared" si="67"/>
        <v>2.2749999999999999</v>
      </c>
      <c r="K2151" s="141">
        <f t="shared" si="68"/>
        <v>70091.160000000047</v>
      </c>
    </row>
    <row r="2152" spans="1:16">
      <c r="A2152" s="141">
        <v>2152</v>
      </c>
      <c r="B2152" s="142">
        <v>44245</v>
      </c>
      <c r="C2152" s="115">
        <v>5</v>
      </c>
      <c r="D2152" s="141">
        <v>22645.999999999978</v>
      </c>
      <c r="E2152" s="141"/>
      <c r="F2152" s="141"/>
      <c r="G2152" s="141"/>
      <c r="H2152" s="141"/>
      <c r="J2152" s="141">
        <f t="shared" si="67"/>
        <v>2.0499999999999998</v>
      </c>
      <c r="K2152" s="141">
        <f t="shared" si="68"/>
        <v>70140.360000000044</v>
      </c>
    </row>
    <row r="2153" spans="1:16">
      <c r="A2153" s="141">
        <v>2153</v>
      </c>
      <c r="B2153" s="142">
        <v>44246</v>
      </c>
      <c r="C2153" s="115">
        <v>4.8999999999999986</v>
      </c>
      <c r="D2153" s="141">
        <v>22650.89999999998</v>
      </c>
      <c r="E2153" s="141"/>
      <c r="F2153" s="141"/>
      <c r="G2153" s="141"/>
      <c r="H2153" s="141"/>
      <c r="J2153" s="141">
        <f t="shared" si="67"/>
        <v>2.0650000000000004</v>
      </c>
      <c r="K2153" s="141">
        <f t="shared" si="68"/>
        <v>70189.920000000042</v>
      </c>
    </row>
    <row r="2154" spans="1:16">
      <c r="A2154" s="141">
        <v>2154</v>
      </c>
      <c r="B2154" s="142">
        <v>44247</v>
      </c>
      <c r="C2154" s="115">
        <v>2.3999999999999986</v>
      </c>
      <c r="D2154" s="141">
        <v>22653.299999999981</v>
      </c>
      <c r="E2154" s="141"/>
      <c r="F2154" s="141"/>
      <c r="G2154" s="141"/>
      <c r="H2154" s="141"/>
      <c r="J2154" s="141">
        <f t="shared" si="67"/>
        <v>2.44</v>
      </c>
      <c r="K2154" s="141">
        <f t="shared" si="68"/>
        <v>70248.48000000004</v>
      </c>
    </row>
    <row r="2155" spans="1:16">
      <c r="A2155" s="141">
        <v>2155</v>
      </c>
      <c r="B2155" s="142">
        <v>44248</v>
      </c>
      <c r="C2155" s="115">
        <v>2.6999999999999993</v>
      </c>
      <c r="D2155" s="141">
        <v>22655.999999999982</v>
      </c>
      <c r="E2155" s="141"/>
      <c r="F2155" s="141"/>
      <c r="G2155" s="141"/>
      <c r="H2155" s="141"/>
      <c r="J2155" s="141">
        <f t="shared" si="67"/>
        <v>2.3950000000000005</v>
      </c>
      <c r="K2155" s="141">
        <f t="shared" si="68"/>
        <v>70305.960000000036</v>
      </c>
    </row>
    <row r="2156" spans="1:16">
      <c r="A2156" s="141">
        <v>2156</v>
      </c>
      <c r="B2156" s="142">
        <v>44249</v>
      </c>
      <c r="C2156" s="141">
        <v>3.6999999999999993</v>
      </c>
      <c r="D2156" s="141">
        <v>22659.699999999983</v>
      </c>
      <c r="E2156" s="141"/>
      <c r="F2156" s="141"/>
      <c r="G2156" s="141"/>
      <c r="H2156" s="141"/>
      <c r="J2156" s="141">
        <f t="shared" si="67"/>
        <v>2.2450000000000001</v>
      </c>
      <c r="K2156" s="141">
        <f t="shared" si="68"/>
        <v>70359.84000000004</v>
      </c>
    </row>
    <row r="2157" spans="1:16">
      <c r="A2157" s="141">
        <v>2157</v>
      </c>
      <c r="B2157" s="142">
        <v>44250</v>
      </c>
      <c r="C2157" s="149">
        <v>0.80000000000000071</v>
      </c>
      <c r="D2157" s="138">
        <v>22660.499999999982</v>
      </c>
      <c r="E2157" s="141"/>
      <c r="F2157" s="141"/>
      <c r="G2157" s="141"/>
      <c r="H2157" s="141"/>
      <c r="J2157" s="141">
        <f t="shared" si="67"/>
        <v>2.6799999999999997</v>
      </c>
      <c r="K2157" s="141">
        <f t="shared" si="68"/>
        <v>70424.160000000047</v>
      </c>
    </row>
    <row r="2158" spans="1:16">
      <c r="A2158" s="141">
        <v>2158</v>
      </c>
      <c r="B2158" s="142">
        <v>44251</v>
      </c>
      <c r="C2158" s="149">
        <v>2</v>
      </c>
      <c r="D2158" s="141">
        <v>22662.499999999982</v>
      </c>
      <c r="E2158" s="141"/>
      <c r="F2158" s="141"/>
      <c r="G2158" s="141"/>
      <c r="H2158" s="141"/>
      <c r="J2158" s="141">
        <f t="shared" si="67"/>
        <v>2.5</v>
      </c>
      <c r="K2158" s="141">
        <f t="shared" si="68"/>
        <v>70484.160000000047</v>
      </c>
    </row>
    <row r="2159" spans="1:16">
      <c r="A2159" s="141">
        <v>2159</v>
      </c>
      <c r="B2159" s="142">
        <v>44252</v>
      </c>
      <c r="C2159" s="149">
        <v>2.8000000000000007</v>
      </c>
      <c r="D2159" s="141">
        <v>22665.299999999981</v>
      </c>
      <c r="E2159" s="141"/>
      <c r="F2159" s="141"/>
      <c r="G2159" s="141"/>
      <c r="H2159" s="141"/>
      <c r="J2159" s="141">
        <f t="shared" si="67"/>
        <v>2.38</v>
      </c>
      <c r="K2159" s="141">
        <f t="shared" si="68"/>
        <v>70541.280000000042</v>
      </c>
    </row>
    <row r="2160" spans="1:16">
      <c r="A2160" s="141">
        <v>2160</v>
      </c>
      <c r="B2160" s="142">
        <v>44253</v>
      </c>
      <c r="C2160" s="149">
        <v>3.1000000000000014</v>
      </c>
      <c r="D2160" s="141">
        <v>22668.39999999998</v>
      </c>
      <c r="E2160" s="141"/>
      <c r="F2160" s="141"/>
      <c r="G2160" s="141"/>
      <c r="H2160" s="141"/>
      <c r="J2160" s="141">
        <f t="shared" si="67"/>
        <v>2.335</v>
      </c>
      <c r="K2160" s="141">
        <f t="shared" si="68"/>
        <v>70597.320000000036</v>
      </c>
      <c r="L2160" s="138"/>
      <c r="M2160" s="142"/>
      <c r="P2160" s="63"/>
    </row>
    <row r="2161" spans="1:16">
      <c r="A2161" s="141">
        <v>2161</v>
      </c>
      <c r="B2161" s="142">
        <v>44254</v>
      </c>
      <c r="C2161" s="149">
        <v>3.6000000000000014</v>
      </c>
      <c r="D2161" s="141">
        <v>22671.999999999978</v>
      </c>
      <c r="E2161" s="141"/>
      <c r="F2161" s="141"/>
      <c r="G2161" s="141"/>
      <c r="H2161" s="141"/>
      <c r="J2161" s="141">
        <f t="shared" si="67"/>
        <v>2.2599999999999998</v>
      </c>
      <c r="K2161" s="141">
        <f t="shared" si="68"/>
        <v>70651.560000000041</v>
      </c>
      <c r="L2161" s="138"/>
      <c r="M2161" s="142"/>
      <c r="P2161" s="63"/>
    </row>
    <row r="2162" spans="1:16">
      <c r="A2162" s="141">
        <v>2162</v>
      </c>
      <c r="B2162" s="142">
        <v>44255</v>
      </c>
      <c r="C2162" s="149">
        <v>4.3999999999999986</v>
      </c>
      <c r="D2162" s="141">
        <v>22676.39999999998</v>
      </c>
      <c r="E2162" s="141"/>
      <c r="F2162" s="141"/>
      <c r="G2162" s="141"/>
      <c r="H2162" s="141"/>
      <c r="J2162" s="141">
        <f t="shared" si="67"/>
        <v>2.14</v>
      </c>
      <c r="K2162" s="141">
        <f t="shared" si="68"/>
        <v>70702.920000000042</v>
      </c>
      <c r="L2162" s="138"/>
      <c r="M2162" s="142"/>
      <c r="P2162" s="63"/>
    </row>
    <row r="2163" spans="1:16">
      <c r="A2163" s="141">
        <v>2163</v>
      </c>
      <c r="B2163" s="142">
        <v>44256</v>
      </c>
      <c r="C2163" s="149">
        <v>2</v>
      </c>
      <c r="D2163" s="141">
        <v>22678.39999999998</v>
      </c>
      <c r="E2163" s="141"/>
      <c r="F2163" s="141"/>
      <c r="G2163" s="141"/>
      <c r="H2163" s="141"/>
      <c r="J2163" s="141">
        <f t="shared" si="67"/>
        <v>2.5</v>
      </c>
      <c r="K2163" s="141">
        <f t="shared" si="68"/>
        <v>70762.920000000042</v>
      </c>
      <c r="L2163" s="138"/>
      <c r="M2163" s="142"/>
      <c r="P2163" s="63"/>
    </row>
    <row r="2164" spans="1:16">
      <c r="A2164" s="141">
        <v>2164</v>
      </c>
      <c r="B2164" s="142">
        <v>44257</v>
      </c>
      <c r="C2164" s="149">
        <v>0.39999999999999858</v>
      </c>
      <c r="D2164" s="141">
        <v>22678.799999999981</v>
      </c>
      <c r="E2164" s="141"/>
      <c r="F2164" s="141"/>
      <c r="G2164" s="141"/>
      <c r="H2164" s="141"/>
      <c r="J2164" s="141">
        <f t="shared" si="67"/>
        <v>2.74</v>
      </c>
      <c r="K2164" s="141">
        <f t="shared" si="68"/>
        <v>70828.680000000037</v>
      </c>
      <c r="L2164" s="138"/>
      <c r="M2164" s="142"/>
      <c r="P2164" s="63"/>
    </row>
    <row r="2165" spans="1:16">
      <c r="A2165" s="141">
        <v>2165</v>
      </c>
      <c r="B2165" s="142">
        <v>44258</v>
      </c>
      <c r="C2165" s="149">
        <v>0.89999999999999858</v>
      </c>
      <c r="D2165" s="141">
        <v>22679.699999999983</v>
      </c>
      <c r="E2165" s="141"/>
      <c r="F2165" s="141"/>
      <c r="G2165" s="141"/>
      <c r="H2165" s="141"/>
      <c r="J2165" s="141">
        <f t="shared" si="67"/>
        <v>2.665</v>
      </c>
      <c r="K2165" s="141">
        <f t="shared" si="68"/>
        <v>70892.640000000043</v>
      </c>
      <c r="L2165" s="138"/>
      <c r="M2165" s="142"/>
      <c r="P2165" s="63"/>
    </row>
    <row r="2166" spans="1:16">
      <c r="A2166" s="141">
        <v>2166</v>
      </c>
      <c r="B2166" s="142">
        <v>44259</v>
      </c>
      <c r="C2166" s="149">
        <v>4.3999999999999986</v>
      </c>
      <c r="D2166" s="141">
        <v>22684.099999999984</v>
      </c>
      <c r="E2166" s="141"/>
      <c r="F2166" s="141"/>
      <c r="G2166" s="141"/>
      <c r="H2166" s="141"/>
      <c r="J2166" s="141">
        <f t="shared" si="67"/>
        <v>2.14</v>
      </c>
      <c r="K2166" s="141">
        <f t="shared" si="68"/>
        <v>70944.000000000044</v>
      </c>
      <c r="L2166" s="138"/>
      <c r="M2166" s="142"/>
      <c r="P2166" s="63"/>
    </row>
    <row r="2167" spans="1:16">
      <c r="A2167" s="141">
        <v>2167</v>
      </c>
      <c r="B2167" s="142">
        <v>44260</v>
      </c>
      <c r="C2167" s="149">
        <v>1</v>
      </c>
      <c r="D2167" s="141">
        <v>22685.099999999984</v>
      </c>
      <c r="E2167" s="141"/>
      <c r="F2167" s="141"/>
      <c r="G2167" s="141"/>
      <c r="H2167" s="141"/>
      <c r="J2167" s="141">
        <f t="shared" si="67"/>
        <v>2.65</v>
      </c>
      <c r="K2167" s="141">
        <f t="shared" si="68"/>
        <v>71007.600000000049</v>
      </c>
      <c r="L2167" s="138"/>
      <c r="M2167" s="142"/>
      <c r="P2167" s="63"/>
    </row>
    <row r="2168" spans="1:16">
      <c r="A2168" s="141">
        <v>2168</v>
      </c>
      <c r="B2168" s="142">
        <v>44261</v>
      </c>
      <c r="C2168" s="143">
        <v>-0.10000000000000142</v>
      </c>
      <c r="D2168" s="138">
        <f>D2167+C2168</f>
        <v>22684.999999999985</v>
      </c>
      <c r="E2168" s="141"/>
      <c r="F2168" s="141"/>
      <c r="G2168" s="141"/>
      <c r="H2168" s="141"/>
      <c r="J2168" s="141">
        <f t="shared" si="67"/>
        <v>2.8149999999999999</v>
      </c>
      <c r="K2168" s="141">
        <f t="shared" si="68"/>
        <v>71075.160000000047</v>
      </c>
      <c r="L2168" s="138"/>
      <c r="M2168" s="142"/>
      <c r="P2168" s="63"/>
    </row>
    <row r="2169" spans="1:16">
      <c r="A2169" s="141">
        <v>2169</v>
      </c>
      <c r="B2169" s="142">
        <v>44262</v>
      </c>
      <c r="C2169" s="143">
        <v>0.39999999999999858</v>
      </c>
      <c r="D2169" s="141">
        <v>22685.399999999987</v>
      </c>
      <c r="E2169" s="141"/>
      <c r="F2169" s="141"/>
      <c r="G2169" s="141"/>
      <c r="H2169" s="141"/>
      <c r="J2169" s="141">
        <f t="shared" si="67"/>
        <v>2.74</v>
      </c>
      <c r="K2169" s="141">
        <f t="shared" si="68"/>
        <v>71140.920000000042</v>
      </c>
    </row>
    <row r="2170" spans="1:16">
      <c r="A2170" s="141">
        <v>2170</v>
      </c>
      <c r="B2170" s="142">
        <v>44263</v>
      </c>
      <c r="C2170" s="143">
        <v>0.39999999999999858</v>
      </c>
      <c r="D2170" s="141">
        <v>22685.799999999988</v>
      </c>
      <c r="E2170" s="141"/>
      <c r="F2170" s="141"/>
      <c r="G2170" s="141"/>
      <c r="J2170" s="141">
        <f t="shared" si="67"/>
        <v>2.74</v>
      </c>
      <c r="K2170" s="141">
        <f t="shared" si="68"/>
        <v>71206.680000000037</v>
      </c>
    </row>
    <row r="2171" spans="1:16">
      <c r="A2171" s="141">
        <v>2171</v>
      </c>
      <c r="B2171" s="142">
        <v>44264</v>
      </c>
      <c r="C2171" s="143">
        <v>-1.1000000000000014</v>
      </c>
      <c r="D2171" s="141">
        <v>22684.69999999999</v>
      </c>
      <c r="E2171" s="141"/>
      <c r="F2171" s="141"/>
      <c r="G2171" s="141"/>
      <c r="J2171" s="141">
        <f t="shared" si="67"/>
        <v>2.9650000000000003</v>
      </c>
      <c r="K2171" s="141">
        <f t="shared" si="68"/>
        <v>71277.84000000004</v>
      </c>
    </row>
    <row r="2172" spans="1:16">
      <c r="A2172" s="141">
        <v>2172</v>
      </c>
      <c r="B2172" s="142">
        <v>44265</v>
      </c>
      <c r="C2172" s="143">
        <v>1.1000000000000014</v>
      </c>
      <c r="D2172" s="141">
        <v>22685.799999999988</v>
      </c>
      <c r="E2172" s="141"/>
      <c r="F2172" s="141"/>
      <c r="G2172" s="141"/>
      <c r="J2172" s="141">
        <f t="shared" si="67"/>
        <v>2.6349999999999998</v>
      </c>
      <c r="K2172" s="141">
        <f t="shared" si="68"/>
        <v>71341.080000000045</v>
      </c>
      <c r="M2172" s="141"/>
      <c r="P2172" s="141"/>
    </row>
    <row r="2173" spans="1:16">
      <c r="A2173" s="141">
        <v>2173</v>
      </c>
      <c r="B2173" s="142">
        <v>44266</v>
      </c>
      <c r="C2173" s="143">
        <v>5.6999999999999993</v>
      </c>
      <c r="D2173" s="141">
        <v>22691.499999999989</v>
      </c>
      <c r="E2173" s="141"/>
      <c r="F2173" s="141"/>
      <c r="G2173" s="141"/>
      <c r="J2173" s="141">
        <f t="shared" si="67"/>
        <v>1.9450000000000001</v>
      </c>
      <c r="K2173" s="141">
        <f t="shared" si="68"/>
        <v>71387.760000000038</v>
      </c>
      <c r="M2173" s="141"/>
      <c r="P2173" s="141"/>
    </row>
    <row r="2174" spans="1:16">
      <c r="A2174" s="141">
        <v>2174</v>
      </c>
      <c r="B2174" s="142">
        <v>44267</v>
      </c>
      <c r="C2174" s="143">
        <v>6.3999999999999986</v>
      </c>
      <c r="D2174" s="141">
        <v>22697.899999999991</v>
      </c>
      <c r="E2174" s="141"/>
      <c r="F2174" s="141"/>
      <c r="G2174" s="141"/>
      <c r="J2174" s="141">
        <f t="shared" si="67"/>
        <v>1.84</v>
      </c>
      <c r="K2174" s="141">
        <f t="shared" si="68"/>
        <v>71431.920000000042</v>
      </c>
      <c r="M2174" s="141"/>
      <c r="P2174" s="141"/>
    </row>
    <row r="2175" spans="1:16">
      <c r="A2175" s="141">
        <v>2175</v>
      </c>
      <c r="B2175" s="142">
        <v>44268</v>
      </c>
      <c r="C2175" s="143">
        <v>7.1000000000000014</v>
      </c>
      <c r="D2175" s="141">
        <v>22704.999999999989</v>
      </c>
      <c r="E2175" s="141"/>
      <c r="F2175" s="141"/>
      <c r="G2175" s="141"/>
      <c r="J2175" s="141">
        <f t="shared" si="67"/>
        <v>1.7349999999999999</v>
      </c>
      <c r="K2175" s="141">
        <f t="shared" si="68"/>
        <v>71473.560000000041</v>
      </c>
      <c r="M2175" s="141"/>
      <c r="P2175" s="141"/>
    </row>
    <row r="2176" spans="1:16">
      <c r="A2176" s="141">
        <v>2176</v>
      </c>
      <c r="B2176" s="142">
        <v>44269</v>
      </c>
      <c r="C2176" s="143">
        <v>4.8000000000000007</v>
      </c>
      <c r="D2176" s="141">
        <v>22709.799999999988</v>
      </c>
      <c r="E2176" s="141"/>
      <c r="F2176" s="141"/>
      <c r="G2176" s="141"/>
      <c r="J2176" s="141">
        <f t="shared" si="67"/>
        <v>2.08</v>
      </c>
      <c r="K2176" s="141">
        <f t="shared" si="68"/>
        <v>71523.48000000004</v>
      </c>
      <c r="M2176" s="141"/>
      <c r="P2176" s="141"/>
    </row>
    <row r="2177" spans="1:16">
      <c r="A2177" s="141">
        <v>2177</v>
      </c>
      <c r="B2177" s="142">
        <v>44270</v>
      </c>
      <c r="C2177" s="143">
        <v>3.5</v>
      </c>
      <c r="D2177" s="141">
        <v>22713.299999999988</v>
      </c>
      <c r="E2177" s="141"/>
      <c r="F2177" s="141"/>
      <c r="G2177" s="141"/>
      <c r="J2177" s="141">
        <f t="shared" si="67"/>
        <v>2.2749999999999999</v>
      </c>
      <c r="K2177" s="141">
        <f t="shared" si="68"/>
        <v>71578.080000000045</v>
      </c>
      <c r="M2177" s="141"/>
      <c r="P2177" s="141"/>
    </row>
    <row r="2178" spans="1:16">
      <c r="A2178" s="141">
        <v>2178</v>
      </c>
      <c r="B2178" s="142">
        <v>44271</v>
      </c>
      <c r="C2178" s="143">
        <v>3.3999999999999986</v>
      </c>
      <c r="D2178" s="141">
        <v>22716.69999999999</v>
      </c>
      <c r="E2178" s="141"/>
      <c r="F2178" s="141"/>
      <c r="G2178" s="141"/>
      <c r="J2178" s="141">
        <f t="shared" si="67"/>
        <v>2.29</v>
      </c>
      <c r="K2178" s="141">
        <f t="shared" si="68"/>
        <v>71633.040000000052</v>
      </c>
      <c r="M2178" s="141"/>
      <c r="P2178" s="141"/>
    </row>
    <row r="2179" spans="1:16">
      <c r="A2179" s="141">
        <v>2179</v>
      </c>
      <c r="B2179" s="142">
        <v>44272</v>
      </c>
      <c r="C2179" s="143">
        <v>1.6000000000000014</v>
      </c>
      <c r="D2179" s="141">
        <v>22718.299999999988</v>
      </c>
      <c r="E2179" s="141"/>
      <c r="F2179" s="141"/>
      <c r="G2179" s="141"/>
      <c r="J2179" s="141">
        <f t="shared" si="67"/>
        <v>2.56</v>
      </c>
      <c r="K2179" s="141">
        <f t="shared" si="68"/>
        <v>71694.480000000054</v>
      </c>
      <c r="M2179" s="141"/>
      <c r="P2179" s="141"/>
    </row>
    <row r="2180" spans="1:16">
      <c r="A2180" s="141">
        <v>2180</v>
      </c>
      <c r="B2180" s="142">
        <v>44273</v>
      </c>
      <c r="C2180" s="143">
        <v>2.1000000000000014</v>
      </c>
      <c r="D2180" s="141">
        <v>22720.399999999987</v>
      </c>
      <c r="E2180" s="141"/>
      <c r="F2180" s="141"/>
      <c r="G2180" s="141"/>
      <c r="J2180" s="141">
        <f t="shared" si="67"/>
        <v>2.4849999999999999</v>
      </c>
      <c r="K2180" s="141">
        <f t="shared" si="68"/>
        <v>71754.120000000054</v>
      </c>
      <c r="M2180" s="141"/>
      <c r="P2180" s="141"/>
    </row>
    <row r="2181" spans="1:16">
      <c r="A2181" s="141">
        <v>2181</v>
      </c>
      <c r="B2181" s="142">
        <v>44274</v>
      </c>
      <c r="C2181" s="143">
        <v>0.89999999999999858</v>
      </c>
      <c r="D2181" s="141">
        <v>22721.299999999988</v>
      </c>
      <c r="E2181" s="141"/>
      <c r="F2181" s="141"/>
      <c r="G2181" s="141"/>
      <c r="J2181" s="141">
        <f t="shared" si="67"/>
        <v>2.665</v>
      </c>
      <c r="K2181" s="141">
        <f t="shared" si="68"/>
        <v>71818.08000000006</v>
      </c>
      <c r="M2181" s="141"/>
      <c r="P2181" s="141"/>
    </row>
    <row r="2182" spans="1:16">
      <c r="A2182" s="141">
        <v>2182</v>
      </c>
      <c r="B2182" s="142">
        <v>44275</v>
      </c>
      <c r="C2182" s="143">
        <v>-2.2000000000000028</v>
      </c>
      <c r="D2182" s="141">
        <v>22719.099999999988</v>
      </c>
      <c r="E2182" s="141"/>
      <c r="F2182" s="141"/>
      <c r="G2182" s="141"/>
      <c r="J2182" s="141">
        <f t="shared" si="67"/>
        <v>3.1300000000000003</v>
      </c>
      <c r="K2182" s="141">
        <f t="shared" si="68"/>
        <v>71893.200000000055</v>
      </c>
    </row>
    <row r="2183" spans="1:16">
      <c r="A2183" s="141">
        <v>2183</v>
      </c>
      <c r="B2183" s="142">
        <v>44276</v>
      </c>
      <c r="C2183" s="143">
        <v>2</v>
      </c>
      <c r="D2183" s="141">
        <v>22721.099999999988</v>
      </c>
      <c r="E2183" s="141"/>
      <c r="F2183" s="141"/>
      <c r="G2183" s="141"/>
      <c r="J2183" s="141">
        <f t="shared" ref="J2183:J2246" si="69">J$1+(IF(J$3-$C2183&gt;0,J$3-$C2183,0)*J$2/30)</f>
        <v>2.5</v>
      </c>
      <c r="K2183" s="141">
        <f t="shared" ref="K2183:K2246" si="70">K2182+J2183*24</f>
        <v>71953.200000000055</v>
      </c>
    </row>
    <row r="2184" spans="1:16">
      <c r="A2184" s="141">
        <v>2184</v>
      </c>
      <c r="B2184" s="142">
        <v>44277</v>
      </c>
      <c r="C2184" s="143">
        <v>3.6000000000000014</v>
      </c>
      <c r="D2184" s="141">
        <v>22724.699999999986</v>
      </c>
      <c r="E2184" s="141"/>
      <c r="F2184" s="141"/>
      <c r="G2184" s="141"/>
      <c r="J2184" s="141">
        <f t="shared" si="69"/>
        <v>2.2599999999999998</v>
      </c>
      <c r="K2184" s="141">
        <f t="shared" si="70"/>
        <v>72007.440000000061</v>
      </c>
    </row>
    <row r="2185" spans="1:16">
      <c r="A2185" s="141">
        <v>2185</v>
      </c>
      <c r="B2185" s="142">
        <v>44278</v>
      </c>
      <c r="C2185" s="143">
        <v>3.8999999999999986</v>
      </c>
      <c r="D2185" s="141">
        <v>22728.599999999988</v>
      </c>
      <c r="E2185" s="141"/>
      <c r="F2185" s="141"/>
      <c r="G2185" s="141"/>
      <c r="J2185" s="141">
        <f t="shared" si="69"/>
        <v>2.2149999999999999</v>
      </c>
      <c r="K2185" s="141">
        <f t="shared" si="70"/>
        <v>72060.600000000064</v>
      </c>
    </row>
    <row r="2186" spans="1:16">
      <c r="A2186" s="141">
        <v>2186</v>
      </c>
      <c r="B2186" s="142">
        <v>44279</v>
      </c>
      <c r="C2186" s="143">
        <v>6.3999999999999986</v>
      </c>
      <c r="D2186" s="141">
        <v>22734.999999999989</v>
      </c>
      <c r="E2186" s="141"/>
      <c r="F2186" s="141"/>
      <c r="G2186" s="141"/>
      <c r="J2186" s="141">
        <f t="shared" si="69"/>
        <v>1.84</v>
      </c>
      <c r="K2186" s="141">
        <f t="shared" si="70"/>
        <v>72104.760000000068</v>
      </c>
    </row>
    <row r="2187" spans="1:16">
      <c r="A2187" s="141">
        <v>2187</v>
      </c>
      <c r="B2187" s="142">
        <v>44280</v>
      </c>
      <c r="C2187" s="143">
        <v>7.5</v>
      </c>
      <c r="D2187" s="141">
        <v>22742.499999999989</v>
      </c>
      <c r="E2187" s="141"/>
      <c r="F2187" s="141"/>
      <c r="G2187" s="141"/>
      <c r="J2187" s="141">
        <f t="shared" si="69"/>
        <v>1.675</v>
      </c>
      <c r="K2187" s="141">
        <f t="shared" si="70"/>
        <v>72144.960000000065</v>
      </c>
    </row>
    <row r="2188" spans="1:16">
      <c r="A2188" s="141">
        <v>2188</v>
      </c>
      <c r="B2188" s="142">
        <v>44281</v>
      </c>
      <c r="C2188" s="143">
        <v>10.399999999999999</v>
      </c>
      <c r="D2188" s="141">
        <v>22752.899999999991</v>
      </c>
      <c r="E2188" s="141"/>
      <c r="F2188" s="141"/>
      <c r="G2188" s="141"/>
      <c r="J2188" s="141">
        <f t="shared" si="69"/>
        <v>1.2400000000000002</v>
      </c>
      <c r="K2188" s="141">
        <f t="shared" si="70"/>
        <v>72174.720000000059</v>
      </c>
    </row>
    <row r="2189" spans="1:16">
      <c r="A2189" s="141">
        <v>2189</v>
      </c>
      <c r="B2189" s="142">
        <v>44282</v>
      </c>
      <c r="C2189" s="143">
        <v>7.8000000000000007</v>
      </c>
      <c r="D2189" s="141">
        <v>22760.69999999999</v>
      </c>
      <c r="E2189" s="141"/>
      <c r="F2189" s="141"/>
      <c r="G2189" s="141"/>
      <c r="J2189" s="141">
        <f t="shared" si="69"/>
        <v>1.63</v>
      </c>
      <c r="K2189" s="141">
        <f t="shared" si="70"/>
        <v>72213.840000000055</v>
      </c>
    </row>
    <row r="2190" spans="1:16">
      <c r="A2190" s="141">
        <v>2190</v>
      </c>
      <c r="B2190" s="142">
        <v>44283</v>
      </c>
      <c r="C2190" s="143">
        <v>7</v>
      </c>
      <c r="D2190" s="141">
        <v>22767.69999999999</v>
      </c>
      <c r="E2190" s="141"/>
      <c r="F2190" s="141"/>
      <c r="G2190" s="141"/>
      <c r="J2190" s="141">
        <f t="shared" si="69"/>
        <v>1.75</v>
      </c>
      <c r="K2190" s="141">
        <f t="shared" si="70"/>
        <v>72255.840000000055</v>
      </c>
    </row>
    <row r="2191" spans="1:16">
      <c r="A2191" s="141">
        <v>2191</v>
      </c>
      <c r="B2191" s="142">
        <v>44284</v>
      </c>
      <c r="C2191" s="143">
        <v>11.8</v>
      </c>
      <c r="D2191" s="141">
        <v>22779.499999999989</v>
      </c>
      <c r="E2191" s="141"/>
      <c r="F2191" s="141"/>
      <c r="G2191" s="141"/>
      <c r="J2191" s="141">
        <f t="shared" si="69"/>
        <v>1.0299999999999998</v>
      </c>
      <c r="K2191" s="141">
        <f t="shared" si="70"/>
        <v>72280.560000000056</v>
      </c>
    </row>
    <row r="2192" spans="1:16">
      <c r="A2192" s="141">
        <v>2192</v>
      </c>
      <c r="B2192" s="142">
        <v>44285</v>
      </c>
      <c r="C2192" s="143">
        <v>13.3</v>
      </c>
      <c r="D2192" s="141">
        <v>22792.799999999988</v>
      </c>
      <c r="E2192" s="141"/>
      <c r="F2192" s="141"/>
      <c r="G2192" s="141"/>
      <c r="J2192" s="141">
        <f t="shared" si="69"/>
        <v>0.80499999999999994</v>
      </c>
      <c r="K2192" s="141">
        <f t="shared" si="70"/>
        <v>72299.880000000063</v>
      </c>
    </row>
    <row r="2193" spans="1:11">
      <c r="A2193" s="141">
        <v>2193</v>
      </c>
      <c r="B2193" s="142">
        <v>44286</v>
      </c>
      <c r="C2193" s="143">
        <v>14.2</v>
      </c>
      <c r="D2193" s="141">
        <v>22806.999999999989</v>
      </c>
      <c r="E2193" s="141"/>
      <c r="F2193" s="141"/>
      <c r="G2193" s="141"/>
      <c r="J2193" s="141">
        <f t="shared" si="69"/>
        <v>0.67000000000000015</v>
      </c>
      <c r="K2193" s="141">
        <f t="shared" si="70"/>
        <v>72315.960000000065</v>
      </c>
    </row>
    <row r="2194" spans="1:11">
      <c r="A2194" s="141">
        <v>2194</v>
      </c>
      <c r="B2194" s="142">
        <v>44287</v>
      </c>
      <c r="C2194" s="143">
        <v>14</v>
      </c>
      <c r="D2194" s="141">
        <v>22820.999999999989</v>
      </c>
      <c r="E2194" s="141"/>
      <c r="F2194" s="141"/>
      <c r="G2194" s="141"/>
      <c r="J2194" s="141">
        <f t="shared" si="69"/>
        <v>0.7</v>
      </c>
      <c r="K2194" s="141">
        <f t="shared" si="70"/>
        <v>72332.760000000068</v>
      </c>
    </row>
    <row r="2195" spans="1:11">
      <c r="A2195" s="141">
        <v>2195</v>
      </c>
      <c r="B2195" s="142">
        <v>44288</v>
      </c>
      <c r="C2195" s="143">
        <v>7.1999999999999993</v>
      </c>
      <c r="D2195" s="141">
        <v>22828.19999999999</v>
      </c>
      <c r="E2195" s="141"/>
      <c r="F2195" s="141"/>
      <c r="G2195" s="141"/>
      <c r="J2195" s="141">
        <f t="shared" si="69"/>
        <v>1.72</v>
      </c>
      <c r="K2195" s="141">
        <f t="shared" si="70"/>
        <v>72374.040000000066</v>
      </c>
    </row>
    <row r="2196" spans="1:11">
      <c r="A2196" s="141">
        <v>2196</v>
      </c>
      <c r="B2196" s="142">
        <v>44289</v>
      </c>
      <c r="C2196" s="143">
        <v>5.1000000000000014</v>
      </c>
      <c r="D2196" s="141">
        <v>22833.299999999988</v>
      </c>
      <c r="E2196" s="141"/>
      <c r="F2196" s="141"/>
      <c r="G2196" s="141"/>
      <c r="J2196" s="141">
        <f t="shared" si="69"/>
        <v>2.0350000000000001</v>
      </c>
      <c r="K2196" s="141">
        <f t="shared" si="70"/>
        <v>72422.880000000063</v>
      </c>
    </row>
    <row r="2197" spans="1:11">
      <c r="A2197" s="141">
        <v>2197</v>
      </c>
      <c r="B2197" s="142">
        <v>44290</v>
      </c>
      <c r="C2197" s="143">
        <v>4.5</v>
      </c>
      <c r="D2197" s="141">
        <v>22837.799999999988</v>
      </c>
      <c r="E2197" s="141"/>
      <c r="F2197" s="141"/>
      <c r="G2197" s="141"/>
      <c r="J2197" s="141">
        <f t="shared" si="69"/>
        <v>2.125</v>
      </c>
      <c r="K2197" s="141">
        <f t="shared" si="70"/>
        <v>72473.880000000063</v>
      </c>
    </row>
    <row r="2198" spans="1:11">
      <c r="A2198" s="141">
        <v>2198</v>
      </c>
      <c r="B2198" s="142">
        <v>44291</v>
      </c>
      <c r="C2198" s="143">
        <v>4.6000000000000014</v>
      </c>
      <c r="D2198" s="141">
        <v>22842.399999999987</v>
      </c>
      <c r="E2198" s="141"/>
      <c r="F2198" s="141"/>
      <c r="G2198" s="141"/>
      <c r="J2198" s="141">
        <f t="shared" si="69"/>
        <v>2.11</v>
      </c>
      <c r="K2198" s="141">
        <f t="shared" si="70"/>
        <v>72524.520000000062</v>
      </c>
    </row>
    <row r="2199" spans="1:11">
      <c r="A2199" s="141">
        <v>2199</v>
      </c>
      <c r="B2199" s="142">
        <v>44292</v>
      </c>
      <c r="C2199" s="143">
        <v>0.19999999999999929</v>
      </c>
      <c r="D2199" s="141">
        <v>22842.599999999988</v>
      </c>
      <c r="E2199" s="141"/>
      <c r="F2199" s="141"/>
      <c r="G2199" s="141"/>
      <c r="J2199" s="141">
        <f t="shared" si="69"/>
        <v>2.7700000000000005</v>
      </c>
      <c r="K2199" s="141">
        <f t="shared" si="70"/>
        <v>72591.000000000058</v>
      </c>
    </row>
    <row r="2200" spans="1:11">
      <c r="A2200" s="141">
        <v>2200</v>
      </c>
      <c r="B2200" s="142">
        <v>44293</v>
      </c>
      <c r="C2200" s="143">
        <v>1.8999999999999986</v>
      </c>
      <c r="D2200" s="141">
        <v>22844.499999999989</v>
      </c>
      <c r="E2200" s="141"/>
      <c r="F2200" s="141"/>
      <c r="G2200" s="141"/>
      <c r="J2200" s="141">
        <f t="shared" si="69"/>
        <v>2.5150000000000001</v>
      </c>
      <c r="K2200" s="141">
        <f t="shared" si="70"/>
        <v>72651.360000000059</v>
      </c>
    </row>
    <row r="2201" spans="1:11">
      <c r="A2201" s="141">
        <v>2201</v>
      </c>
      <c r="B2201" s="142">
        <v>44294</v>
      </c>
      <c r="C2201" s="143">
        <v>3.1999999999999993</v>
      </c>
      <c r="D2201" s="141">
        <v>22847.69999999999</v>
      </c>
      <c r="E2201" s="141"/>
      <c r="F2201" s="141"/>
      <c r="G2201" s="141"/>
      <c r="J2201" s="141">
        <f t="shared" si="69"/>
        <v>2.3199999999999998</v>
      </c>
      <c r="K2201" s="141">
        <f t="shared" si="70"/>
        <v>72707.040000000052</v>
      </c>
    </row>
    <row r="2202" spans="1:11">
      <c r="A2202" s="141">
        <v>2202</v>
      </c>
      <c r="B2202" s="142">
        <v>44295</v>
      </c>
      <c r="C2202" s="143">
        <v>5.6000000000000014</v>
      </c>
      <c r="D2202" s="141">
        <v>22853.299999999988</v>
      </c>
      <c r="E2202" s="141"/>
      <c r="F2202" s="141"/>
      <c r="G2202" s="141"/>
      <c r="J2202" s="141">
        <f t="shared" si="69"/>
        <v>1.96</v>
      </c>
      <c r="K2202" s="141">
        <f t="shared" si="70"/>
        <v>72754.080000000045</v>
      </c>
    </row>
    <row r="2203" spans="1:11">
      <c r="A2203" s="141">
        <v>2203</v>
      </c>
      <c r="B2203" s="142">
        <v>44296</v>
      </c>
      <c r="C2203" s="143">
        <v>9.6000000000000014</v>
      </c>
      <c r="D2203" s="141">
        <v>22862.899999999987</v>
      </c>
      <c r="E2203" s="141"/>
      <c r="F2203" s="141"/>
      <c r="G2203" s="141"/>
      <c r="J2203" s="141">
        <f t="shared" si="69"/>
        <v>1.3599999999999999</v>
      </c>
      <c r="K2203" s="141">
        <f t="shared" si="70"/>
        <v>72786.720000000045</v>
      </c>
    </row>
    <row r="2204" spans="1:11">
      <c r="A2204" s="141">
        <v>2204</v>
      </c>
      <c r="B2204" s="142">
        <v>44297</v>
      </c>
      <c r="C2204" s="143">
        <v>11.7</v>
      </c>
      <c r="D2204" s="141">
        <v>22874.599999999988</v>
      </c>
      <c r="E2204" s="141"/>
      <c r="F2204" s="141"/>
      <c r="G2204" s="141"/>
      <c r="J2204" s="141">
        <f t="shared" si="69"/>
        <v>1.0449999999999999</v>
      </c>
      <c r="K2204" s="141">
        <f t="shared" si="70"/>
        <v>72811.800000000047</v>
      </c>
    </row>
    <row r="2205" spans="1:11">
      <c r="A2205" s="141">
        <v>2205</v>
      </c>
      <c r="B2205" s="142">
        <v>44298</v>
      </c>
      <c r="C2205" s="143">
        <v>4.3000000000000007</v>
      </c>
      <c r="D2205" s="141">
        <v>22878.899999999987</v>
      </c>
      <c r="E2205" s="141"/>
      <c r="F2205" s="141"/>
      <c r="G2205" s="141"/>
      <c r="J2205" s="141">
        <f t="shared" si="69"/>
        <v>2.1550000000000002</v>
      </c>
      <c r="K2205" s="141">
        <f t="shared" si="70"/>
        <v>72863.520000000048</v>
      </c>
    </row>
    <row r="2206" spans="1:11">
      <c r="A2206" s="141">
        <v>2206</v>
      </c>
      <c r="B2206" s="142">
        <v>44299</v>
      </c>
      <c r="C2206" s="143">
        <v>4</v>
      </c>
      <c r="D2206" s="141">
        <v>22882.899999999987</v>
      </c>
      <c r="E2206" s="141"/>
      <c r="F2206" s="141"/>
      <c r="G2206" s="141"/>
      <c r="J2206" s="141">
        <f t="shared" si="69"/>
        <v>2.2000000000000002</v>
      </c>
      <c r="K2206" s="141">
        <f t="shared" si="70"/>
        <v>72916.320000000051</v>
      </c>
    </row>
    <row r="2207" spans="1:11">
      <c r="A2207" s="141">
        <v>2207</v>
      </c>
      <c r="B2207" s="142">
        <v>44300</v>
      </c>
      <c r="C2207" s="143">
        <v>3.8000000000000007</v>
      </c>
      <c r="D2207" s="141">
        <v>22886.699999999986</v>
      </c>
      <c r="E2207" s="141"/>
      <c r="F2207" s="141"/>
      <c r="G2207" s="141"/>
      <c r="J2207" s="141">
        <f t="shared" si="69"/>
        <v>2.23</v>
      </c>
      <c r="K2207" s="141">
        <f t="shared" si="70"/>
        <v>72969.840000000055</v>
      </c>
    </row>
    <row r="2208" spans="1:11">
      <c r="A2208" s="141">
        <v>2208</v>
      </c>
      <c r="B2208" s="142">
        <v>44301</v>
      </c>
      <c r="C2208" s="143">
        <v>2</v>
      </c>
      <c r="D2208" s="141">
        <v>22888.699999999986</v>
      </c>
      <c r="E2208" s="141"/>
      <c r="F2208" s="141"/>
      <c r="G2208" s="141"/>
      <c r="J2208" s="141">
        <f t="shared" si="69"/>
        <v>2.5</v>
      </c>
      <c r="K2208" s="141">
        <f t="shared" si="70"/>
        <v>73029.840000000055</v>
      </c>
    </row>
    <row r="2209" spans="1:16">
      <c r="A2209" s="141">
        <v>2209</v>
      </c>
      <c r="B2209" s="142">
        <v>44302</v>
      </c>
      <c r="C2209" s="143">
        <v>2.5</v>
      </c>
      <c r="D2209" s="141">
        <v>22891.199999999986</v>
      </c>
      <c r="E2209" s="141"/>
      <c r="F2209" s="141"/>
      <c r="G2209" s="141"/>
      <c r="J2209" s="141">
        <f t="shared" si="69"/>
        <v>2.4249999999999998</v>
      </c>
      <c r="K2209" s="141">
        <f t="shared" si="70"/>
        <v>73088.040000000052</v>
      </c>
    </row>
    <row r="2210" spans="1:16">
      <c r="A2210" s="141">
        <v>2210</v>
      </c>
      <c r="B2210" s="142">
        <v>44303</v>
      </c>
      <c r="C2210" s="143">
        <v>3.6999999999999993</v>
      </c>
      <c r="D2210" s="141">
        <v>22894.899999999987</v>
      </c>
      <c r="E2210" s="141"/>
      <c r="F2210" s="141"/>
      <c r="G2210" s="141"/>
      <c r="J2210" s="141">
        <f t="shared" si="69"/>
        <v>2.2450000000000001</v>
      </c>
      <c r="K2210" s="141">
        <f t="shared" si="70"/>
        <v>73141.920000000056</v>
      </c>
    </row>
    <row r="2211" spans="1:16">
      <c r="A2211" s="141">
        <v>2211</v>
      </c>
      <c r="B2211" s="142">
        <v>44304</v>
      </c>
      <c r="C2211" s="143">
        <v>6.8999999999999986</v>
      </c>
      <c r="D2211" s="141">
        <v>22901.799999999988</v>
      </c>
      <c r="E2211" s="141"/>
      <c r="F2211" s="141"/>
      <c r="G2211" s="141"/>
      <c r="J2211" s="141">
        <f t="shared" si="69"/>
        <v>1.7650000000000001</v>
      </c>
      <c r="K2211" s="141">
        <f t="shared" si="70"/>
        <v>73184.280000000057</v>
      </c>
    </row>
    <row r="2212" spans="1:16">
      <c r="A2212" s="141">
        <v>2212</v>
      </c>
      <c r="B2212" s="142">
        <v>44305</v>
      </c>
      <c r="C2212" s="143">
        <v>8</v>
      </c>
      <c r="D2212" s="141">
        <v>22909.799999999988</v>
      </c>
      <c r="E2212" s="141"/>
      <c r="F2212" s="141"/>
      <c r="G2212" s="141"/>
      <c r="J2212" s="141">
        <f t="shared" si="69"/>
        <v>1.6</v>
      </c>
      <c r="K2212" s="141">
        <f t="shared" si="70"/>
        <v>73222.680000000051</v>
      </c>
    </row>
    <row r="2213" spans="1:16">
      <c r="A2213" s="141">
        <v>2213</v>
      </c>
      <c r="B2213" s="142">
        <v>44306</v>
      </c>
      <c r="C2213" s="143">
        <v>9.6999999999999993</v>
      </c>
      <c r="D2213" s="141">
        <v>22919.499999999989</v>
      </c>
      <c r="E2213" s="141"/>
      <c r="F2213" s="141"/>
      <c r="G2213" s="141"/>
      <c r="J2213" s="141">
        <f t="shared" si="69"/>
        <v>1.345</v>
      </c>
      <c r="K2213" s="141">
        <f t="shared" si="70"/>
        <v>73254.96000000005</v>
      </c>
    </row>
    <row r="2214" spans="1:16">
      <c r="A2214" s="141">
        <v>2214</v>
      </c>
      <c r="B2214" s="142">
        <v>44307</v>
      </c>
      <c r="C2214" s="143">
        <v>10.199999999999999</v>
      </c>
      <c r="D2214" s="141">
        <v>22929.69999999999</v>
      </c>
      <c r="E2214" s="141"/>
      <c r="F2214" s="141"/>
      <c r="G2214" s="141"/>
      <c r="J2214" s="141">
        <f t="shared" si="69"/>
        <v>1.27</v>
      </c>
      <c r="K2214" s="141">
        <f t="shared" si="70"/>
        <v>73285.440000000046</v>
      </c>
    </row>
    <row r="2215" spans="1:16">
      <c r="A2215" s="141">
        <v>2215</v>
      </c>
      <c r="B2215" s="142">
        <v>44308</v>
      </c>
      <c r="C2215" s="143">
        <v>7.1999999999999993</v>
      </c>
      <c r="D2215" s="141">
        <v>22936.899999999991</v>
      </c>
      <c r="E2215" s="141"/>
      <c r="F2215" s="141"/>
      <c r="G2215" s="141"/>
      <c r="J2215" s="141">
        <f t="shared" si="69"/>
        <v>1.72</v>
      </c>
      <c r="K2215" s="141">
        <f t="shared" si="70"/>
        <v>73326.720000000045</v>
      </c>
    </row>
    <row r="2216" spans="1:16">
      <c r="A2216" s="141">
        <v>2216</v>
      </c>
      <c r="B2216" s="142">
        <v>44309</v>
      </c>
      <c r="C2216" s="143">
        <v>6.8000000000000007</v>
      </c>
      <c r="D2216" s="141">
        <v>22943.69999999999</v>
      </c>
      <c r="E2216" s="141"/>
      <c r="F2216" s="141"/>
      <c r="G2216" s="141"/>
      <c r="J2216" s="141">
        <f t="shared" si="69"/>
        <v>1.78</v>
      </c>
      <c r="K2216" s="141">
        <f t="shared" si="70"/>
        <v>73369.440000000046</v>
      </c>
      <c r="M2216" s="141"/>
      <c r="P2216" s="141"/>
    </row>
    <row r="2217" spans="1:16">
      <c r="A2217" s="141">
        <v>2217</v>
      </c>
      <c r="B2217" s="142">
        <v>44310</v>
      </c>
      <c r="C2217" s="143">
        <v>7.3000000000000007</v>
      </c>
      <c r="D2217" s="141">
        <v>22950.999999999989</v>
      </c>
      <c r="E2217" s="141"/>
      <c r="F2217" s="141"/>
      <c r="G2217" s="141"/>
      <c r="J2217" s="141">
        <f t="shared" si="69"/>
        <v>1.7049999999999998</v>
      </c>
      <c r="K2217" s="141">
        <f t="shared" si="70"/>
        <v>73410.360000000044</v>
      </c>
    </row>
    <row r="2218" spans="1:16">
      <c r="A2218" s="141">
        <v>2218</v>
      </c>
      <c r="B2218" s="142">
        <v>44311</v>
      </c>
      <c r="C2218" s="143">
        <v>6.8999999999999986</v>
      </c>
      <c r="D2218" s="141">
        <v>22957.899999999991</v>
      </c>
      <c r="E2218" s="141"/>
      <c r="F2218" s="141"/>
      <c r="G2218" s="141"/>
      <c r="J2218" s="141">
        <f t="shared" si="69"/>
        <v>1.7650000000000001</v>
      </c>
      <c r="K2218" s="141">
        <f t="shared" si="70"/>
        <v>73452.720000000045</v>
      </c>
      <c r="M2218" s="141"/>
      <c r="P2218" s="141"/>
    </row>
    <row r="2219" spans="1:16">
      <c r="A2219" s="141">
        <v>2219</v>
      </c>
      <c r="B2219" s="142">
        <v>44312</v>
      </c>
      <c r="C2219" s="143">
        <v>5.1999999999999993</v>
      </c>
      <c r="D2219" s="141">
        <v>22963.099999999991</v>
      </c>
      <c r="E2219" s="141"/>
      <c r="F2219" s="141"/>
      <c r="G2219" s="141"/>
      <c r="J2219" s="141">
        <f t="shared" si="69"/>
        <v>2.02</v>
      </c>
      <c r="K2219" s="141">
        <f t="shared" si="70"/>
        <v>73501.200000000041</v>
      </c>
      <c r="M2219" s="141"/>
      <c r="P2219" s="141"/>
    </row>
    <row r="2220" spans="1:16">
      <c r="A2220" s="141">
        <v>2220</v>
      </c>
      <c r="B2220" s="142">
        <v>44313</v>
      </c>
      <c r="C2220" s="143">
        <v>6.8999999999999986</v>
      </c>
      <c r="D2220" s="141">
        <v>22969.999999999993</v>
      </c>
      <c r="E2220" s="141"/>
      <c r="F2220" s="141"/>
      <c r="G2220" s="141"/>
      <c r="J2220" s="141">
        <f t="shared" si="69"/>
        <v>1.7650000000000001</v>
      </c>
      <c r="K2220" s="141">
        <f t="shared" si="70"/>
        <v>73543.560000000041</v>
      </c>
      <c r="M2220" s="141"/>
      <c r="P2220" s="141"/>
    </row>
    <row r="2221" spans="1:16">
      <c r="A2221" s="141">
        <v>2221</v>
      </c>
      <c r="B2221" s="142">
        <v>44314</v>
      </c>
      <c r="C2221" s="143">
        <v>10.899999999999999</v>
      </c>
      <c r="D2221" s="141">
        <v>22980.899999999994</v>
      </c>
      <c r="E2221" s="141"/>
      <c r="F2221" s="141"/>
      <c r="G2221" s="141"/>
      <c r="J2221" s="141">
        <f t="shared" si="69"/>
        <v>1.1650000000000003</v>
      </c>
      <c r="K2221" s="141">
        <f t="shared" si="70"/>
        <v>73571.520000000048</v>
      </c>
      <c r="M2221" s="141"/>
      <c r="P2221" s="141"/>
    </row>
    <row r="2222" spans="1:16">
      <c r="A2222" s="141">
        <v>2222</v>
      </c>
      <c r="B2222" s="142">
        <v>44315</v>
      </c>
      <c r="C2222" s="143">
        <v>12.7</v>
      </c>
      <c r="D2222" s="141">
        <v>22993.599999999995</v>
      </c>
      <c r="E2222" s="141"/>
      <c r="F2222" s="141"/>
      <c r="G2222" s="141"/>
      <c r="J2222" s="141">
        <f t="shared" si="69"/>
        <v>0.89500000000000002</v>
      </c>
      <c r="K2222" s="141">
        <f t="shared" si="70"/>
        <v>73593.000000000044</v>
      </c>
      <c r="M2222" s="141"/>
      <c r="P2222" s="141"/>
    </row>
    <row r="2223" spans="1:16">
      <c r="A2223" s="141">
        <v>2223</v>
      </c>
      <c r="B2223" s="142">
        <v>44316</v>
      </c>
      <c r="C2223" s="143">
        <v>11.600000000000001</v>
      </c>
      <c r="D2223" s="141">
        <v>23005.199999999993</v>
      </c>
      <c r="E2223" s="141"/>
      <c r="F2223" s="141"/>
      <c r="G2223" s="141"/>
      <c r="J2223" s="141">
        <f t="shared" si="69"/>
        <v>1.0599999999999998</v>
      </c>
      <c r="K2223" s="141">
        <f t="shared" si="70"/>
        <v>73618.440000000046</v>
      </c>
      <c r="M2223" s="141"/>
      <c r="P2223" s="141"/>
    </row>
    <row r="2224" spans="1:16">
      <c r="A2224" s="141">
        <v>2224</v>
      </c>
      <c r="B2224" s="142">
        <v>44317</v>
      </c>
      <c r="C2224" s="143">
        <v>9.8000000000000007</v>
      </c>
      <c r="D2224" s="141">
        <v>23014.999999999993</v>
      </c>
      <c r="E2224" s="141"/>
      <c r="F2224" s="141"/>
      <c r="G2224" s="141"/>
      <c r="J2224" s="141">
        <f t="shared" si="69"/>
        <v>1.3299999999999998</v>
      </c>
      <c r="K2224" s="141">
        <f t="shared" si="70"/>
        <v>73650.360000000044</v>
      </c>
      <c r="M2224" s="141"/>
      <c r="P2224" s="141"/>
    </row>
    <row r="2225" spans="1:16">
      <c r="A2225" s="141">
        <v>2225</v>
      </c>
      <c r="B2225" s="142">
        <v>44318</v>
      </c>
      <c r="C2225" s="143">
        <v>7.8000000000000007</v>
      </c>
      <c r="D2225" s="141">
        <v>23022.799999999992</v>
      </c>
      <c r="E2225" s="141"/>
      <c r="F2225" s="141"/>
      <c r="G2225" s="141"/>
      <c r="J2225" s="141">
        <f t="shared" si="69"/>
        <v>1.63</v>
      </c>
      <c r="K2225" s="141">
        <f t="shared" si="70"/>
        <v>73689.48000000004</v>
      </c>
      <c r="M2225" s="141"/>
      <c r="P2225" s="141"/>
    </row>
    <row r="2226" spans="1:16">
      <c r="A2226" s="141">
        <v>2226</v>
      </c>
      <c r="B2226" s="142">
        <v>44319</v>
      </c>
      <c r="C2226" s="143">
        <v>7.6000000000000014</v>
      </c>
      <c r="D2226" s="141">
        <v>23030.399999999991</v>
      </c>
      <c r="E2226" s="141"/>
      <c r="F2226" s="141"/>
      <c r="G2226" s="141"/>
      <c r="J2226" s="141">
        <f t="shared" si="69"/>
        <v>1.66</v>
      </c>
      <c r="K2226" s="141">
        <f t="shared" si="70"/>
        <v>73729.320000000036</v>
      </c>
    </row>
    <row r="2227" spans="1:16">
      <c r="A2227" s="141">
        <v>2227</v>
      </c>
      <c r="B2227" s="142">
        <v>44320</v>
      </c>
      <c r="C2227" s="143">
        <v>11</v>
      </c>
      <c r="D2227" s="141">
        <v>23041.399999999991</v>
      </c>
      <c r="E2227" s="141"/>
      <c r="F2227" s="141"/>
      <c r="G2227" s="141"/>
      <c r="J2227" s="141">
        <f t="shared" si="69"/>
        <v>1.1499999999999999</v>
      </c>
      <c r="K2227" s="141">
        <f t="shared" si="70"/>
        <v>73756.920000000042</v>
      </c>
    </row>
    <row r="2228" spans="1:16">
      <c r="A2228" s="141">
        <v>2228</v>
      </c>
      <c r="B2228" s="142">
        <v>44321</v>
      </c>
      <c r="C2228" s="143">
        <v>9.8999999999999986</v>
      </c>
      <c r="D2228" s="141">
        <v>23051.299999999992</v>
      </c>
      <c r="E2228" s="141"/>
      <c r="F2228" s="141"/>
      <c r="G2228" s="141"/>
      <c r="J2228" s="141">
        <f t="shared" si="69"/>
        <v>1.3150000000000002</v>
      </c>
      <c r="K2228" s="141">
        <f t="shared" si="70"/>
        <v>73788.48000000004</v>
      </c>
    </row>
    <row r="2229" spans="1:16">
      <c r="A2229" s="141">
        <v>2229</v>
      </c>
      <c r="B2229" s="142">
        <v>44322</v>
      </c>
      <c r="C2229" s="143">
        <v>7.6999999999999993</v>
      </c>
      <c r="D2229" s="141">
        <v>23058.999999999993</v>
      </c>
      <c r="E2229" s="141"/>
      <c r="F2229" s="141"/>
      <c r="G2229" s="141"/>
      <c r="J2229" s="141">
        <f t="shared" si="69"/>
        <v>1.645</v>
      </c>
      <c r="K2229" s="141">
        <f t="shared" si="70"/>
        <v>73827.960000000036</v>
      </c>
    </row>
    <row r="2230" spans="1:16">
      <c r="A2230" s="141">
        <v>2230</v>
      </c>
      <c r="B2230" s="142">
        <v>44323</v>
      </c>
      <c r="C2230" s="143">
        <v>7.6000000000000014</v>
      </c>
      <c r="D2230" s="141">
        <v>23066.599999999991</v>
      </c>
      <c r="E2230" s="141"/>
      <c r="F2230" s="141"/>
      <c r="G2230" s="141"/>
      <c r="J2230" s="141">
        <f t="shared" si="69"/>
        <v>1.66</v>
      </c>
      <c r="K2230" s="141">
        <f t="shared" si="70"/>
        <v>73867.800000000032</v>
      </c>
    </row>
    <row r="2231" spans="1:16">
      <c r="A2231" s="141">
        <v>2231</v>
      </c>
      <c r="B2231" s="142">
        <v>44324</v>
      </c>
      <c r="C2231" s="143">
        <v>8.5</v>
      </c>
      <c r="D2231" s="141">
        <v>23075.099999999991</v>
      </c>
      <c r="E2231" s="141"/>
      <c r="F2231" s="141"/>
      <c r="G2231" s="141"/>
      <c r="J2231" s="141">
        <f t="shared" si="69"/>
        <v>1.5249999999999999</v>
      </c>
      <c r="K2231" s="141">
        <f t="shared" si="70"/>
        <v>73904.400000000038</v>
      </c>
      <c r="M2231" s="141"/>
      <c r="P2231" s="141"/>
    </row>
    <row r="2232" spans="1:16">
      <c r="A2232" s="141">
        <v>2232</v>
      </c>
      <c r="B2232" s="142">
        <v>44325</v>
      </c>
      <c r="C2232" s="143">
        <v>14.9</v>
      </c>
      <c r="D2232" s="141">
        <v>23089.999999999993</v>
      </c>
      <c r="E2232" s="141"/>
      <c r="F2232" s="141"/>
      <c r="G2232" s="141"/>
      <c r="J2232" s="141">
        <f t="shared" si="69"/>
        <v>0.56499999999999995</v>
      </c>
      <c r="K2232" s="141">
        <f t="shared" si="70"/>
        <v>73917.960000000036</v>
      </c>
      <c r="M2232" s="141"/>
      <c r="P2232" s="141"/>
    </row>
    <row r="2233" spans="1:16">
      <c r="A2233" s="141">
        <v>2233</v>
      </c>
      <c r="B2233" s="142">
        <v>44326</v>
      </c>
      <c r="C2233" s="143">
        <v>18.899999999999999</v>
      </c>
      <c r="D2233" s="141">
        <v>23108.899999999994</v>
      </c>
      <c r="E2233" s="141"/>
      <c r="F2233" s="141"/>
      <c r="G2233" s="141"/>
      <c r="J2233" s="141">
        <f t="shared" si="69"/>
        <v>0.25</v>
      </c>
      <c r="K2233" s="141">
        <f t="shared" si="70"/>
        <v>73923.960000000036</v>
      </c>
      <c r="M2233" s="141"/>
      <c r="P2233" s="141"/>
    </row>
    <row r="2234" spans="1:16">
      <c r="A2234" s="141">
        <v>2234</v>
      </c>
      <c r="B2234" s="142">
        <v>44327</v>
      </c>
      <c r="C2234" s="143">
        <v>21</v>
      </c>
      <c r="D2234" s="141">
        <v>23129.899999999994</v>
      </c>
      <c r="E2234" s="141"/>
      <c r="F2234" s="141"/>
      <c r="G2234" s="141"/>
      <c r="J2234" s="141">
        <f t="shared" si="69"/>
        <v>0.25</v>
      </c>
      <c r="K2234" s="141">
        <f t="shared" si="70"/>
        <v>73929.960000000036</v>
      </c>
      <c r="M2234" s="141"/>
      <c r="P2234" s="141"/>
    </row>
    <row r="2235" spans="1:16">
      <c r="A2235" s="141">
        <v>2235</v>
      </c>
      <c r="B2235" s="142">
        <v>44328</v>
      </c>
      <c r="C2235" s="143">
        <v>15.1</v>
      </c>
      <c r="D2235" s="141">
        <v>23144.999999999993</v>
      </c>
      <c r="E2235" s="141"/>
      <c r="F2235" s="141"/>
      <c r="G2235" s="141"/>
      <c r="J2235" s="141">
        <f t="shared" si="69"/>
        <v>0.53500000000000003</v>
      </c>
      <c r="K2235" s="141">
        <f t="shared" si="70"/>
        <v>73942.800000000032</v>
      </c>
      <c r="M2235" s="141"/>
      <c r="P2235" s="141"/>
    </row>
    <row r="2236" spans="1:16">
      <c r="A2236" s="141">
        <v>2236</v>
      </c>
      <c r="B2236" s="142">
        <v>44329</v>
      </c>
      <c r="C2236" s="143">
        <v>10.600000000000001</v>
      </c>
      <c r="D2236" s="141">
        <v>23155.599999999991</v>
      </c>
      <c r="E2236" s="141"/>
      <c r="F2236" s="141"/>
      <c r="G2236" s="141"/>
      <c r="J2236" s="141">
        <f t="shared" si="69"/>
        <v>1.2099999999999997</v>
      </c>
      <c r="K2236" s="141">
        <f t="shared" si="70"/>
        <v>73971.840000000026</v>
      </c>
      <c r="M2236" s="141"/>
      <c r="P2236" s="141"/>
    </row>
    <row r="2237" spans="1:16">
      <c r="A2237" s="141">
        <v>2237</v>
      </c>
      <c r="B2237" s="142">
        <v>44330</v>
      </c>
      <c r="C2237" s="143">
        <v>10.7</v>
      </c>
      <c r="D2237" s="141">
        <v>23166.299999999992</v>
      </c>
      <c r="E2237" s="141"/>
      <c r="F2237" s="141"/>
      <c r="G2237" s="141"/>
      <c r="J2237" s="141">
        <f t="shared" si="69"/>
        <v>1.1950000000000001</v>
      </c>
      <c r="K2237" s="141">
        <f t="shared" si="70"/>
        <v>74000.520000000019</v>
      </c>
      <c r="M2237" s="141"/>
      <c r="P2237" s="141"/>
    </row>
    <row r="2238" spans="1:16">
      <c r="A2238" s="141">
        <v>2238</v>
      </c>
      <c r="B2238" s="142">
        <v>44331</v>
      </c>
      <c r="C2238" s="143">
        <v>11.600000000000001</v>
      </c>
      <c r="D2238" s="141">
        <v>23177.899999999991</v>
      </c>
      <c r="E2238" s="141"/>
      <c r="F2238" s="141"/>
      <c r="G2238" s="141"/>
      <c r="J2238" s="141">
        <f t="shared" si="69"/>
        <v>1.0599999999999998</v>
      </c>
      <c r="K2238" s="141">
        <f t="shared" si="70"/>
        <v>74025.960000000021</v>
      </c>
      <c r="M2238" s="141"/>
      <c r="P2238" s="141"/>
    </row>
    <row r="2239" spans="1:16">
      <c r="A2239" s="141">
        <v>2239</v>
      </c>
      <c r="B2239" s="142">
        <v>44332</v>
      </c>
      <c r="C2239" s="143">
        <v>12.399999999999999</v>
      </c>
      <c r="D2239" s="141">
        <v>23190.299999999992</v>
      </c>
      <c r="E2239" s="141"/>
      <c r="F2239" s="141"/>
      <c r="G2239" s="141"/>
      <c r="J2239" s="141">
        <f t="shared" si="69"/>
        <v>0.94000000000000017</v>
      </c>
      <c r="K2239" s="141">
        <f t="shared" si="70"/>
        <v>74048.520000000019</v>
      </c>
      <c r="M2239" s="141"/>
      <c r="P2239" s="141"/>
    </row>
    <row r="2240" spans="1:16">
      <c r="A2240" s="141">
        <v>2240</v>
      </c>
      <c r="B2240" s="142">
        <v>44333</v>
      </c>
      <c r="C2240" s="143">
        <v>11.899999999999999</v>
      </c>
      <c r="D2240" s="141">
        <v>23202.199999999993</v>
      </c>
      <c r="E2240" s="141"/>
      <c r="F2240" s="141"/>
      <c r="G2240" s="141"/>
      <c r="J2240" s="141">
        <f t="shared" si="69"/>
        <v>1.0150000000000001</v>
      </c>
      <c r="K2240" s="141">
        <f t="shared" si="70"/>
        <v>74072.880000000019</v>
      </c>
      <c r="M2240" s="141"/>
      <c r="P2240" s="141"/>
    </row>
    <row r="2241" spans="1:16">
      <c r="A2241" s="141">
        <v>2241</v>
      </c>
      <c r="B2241" s="142">
        <v>44334</v>
      </c>
      <c r="C2241" s="143">
        <v>12.399999999999999</v>
      </c>
      <c r="D2241" s="141">
        <v>23214.599999999995</v>
      </c>
      <c r="E2241" s="141"/>
      <c r="F2241" s="141"/>
      <c r="G2241" s="141"/>
      <c r="J2241" s="141">
        <f t="shared" si="69"/>
        <v>0.94000000000000017</v>
      </c>
      <c r="K2241" s="141">
        <f t="shared" si="70"/>
        <v>74095.440000000017</v>
      </c>
      <c r="M2241" s="141"/>
      <c r="P2241" s="141"/>
    </row>
    <row r="2242" spans="1:16">
      <c r="A2242" s="141">
        <v>2242</v>
      </c>
      <c r="B2242" s="142">
        <v>44335</v>
      </c>
      <c r="C2242" s="143">
        <v>10.600000000000001</v>
      </c>
      <c r="D2242" s="141">
        <v>23225.199999999993</v>
      </c>
      <c r="E2242" s="141"/>
      <c r="F2242" s="141"/>
      <c r="G2242" s="141"/>
      <c r="J2242" s="141">
        <f t="shared" si="69"/>
        <v>1.2099999999999997</v>
      </c>
      <c r="K2242" s="141">
        <f t="shared" si="70"/>
        <v>74124.48000000001</v>
      </c>
    </row>
    <row r="2243" spans="1:16">
      <c r="A2243" s="141">
        <v>2243</v>
      </c>
      <c r="B2243" s="142">
        <v>44336</v>
      </c>
      <c r="C2243" s="143">
        <v>10.199999999999999</v>
      </c>
      <c r="D2243" s="141">
        <v>23235.399999999994</v>
      </c>
      <c r="E2243" s="141"/>
      <c r="F2243" s="141"/>
      <c r="G2243" s="141"/>
      <c r="J2243" s="141">
        <f t="shared" si="69"/>
        <v>1.27</v>
      </c>
      <c r="K2243" s="141">
        <f t="shared" si="70"/>
        <v>74154.960000000006</v>
      </c>
    </row>
    <row r="2244" spans="1:16">
      <c r="A2244" s="141">
        <v>2244</v>
      </c>
      <c r="B2244" s="142">
        <v>44337</v>
      </c>
      <c r="C2244" s="143">
        <v>12.5</v>
      </c>
      <c r="D2244" s="141">
        <v>23247.899999999994</v>
      </c>
      <c r="E2244" s="141"/>
      <c r="F2244" s="141"/>
      <c r="G2244" s="141"/>
      <c r="J2244" s="141">
        <f t="shared" si="69"/>
        <v>0.92500000000000004</v>
      </c>
      <c r="K2244" s="141">
        <f t="shared" si="70"/>
        <v>74177.16</v>
      </c>
    </row>
    <row r="2245" spans="1:16">
      <c r="A2245" s="141">
        <v>2245</v>
      </c>
      <c r="B2245" s="142">
        <v>44338</v>
      </c>
      <c r="C2245" s="143">
        <v>12.899999999999999</v>
      </c>
      <c r="D2245" s="141">
        <v>23260.799999999996</v>
      </c>
      <c r="E2245" s="141"/>
      <c r="F2245" s="141"/>
      <c r="G2245" s="141"/>
      <c r="J2245" s="141">
        <f t="shared" si="69"/>
        <v>0.86500000000000021</v>
      </c>
      <c r="K2245" s="141">
        <f t="shared" si="70"/>
        <v>74197.919999999998</v>
      </c>
    </row>
    <row r="2246" spans="1:16">
      <c r="A2246" s="141">
        <v>2246</v>
      </c>
      <c r="B2246" s="142">
        <v>44339</v>
      </c>
      <c r="C2246" s="143">
        <v>11.600000000000001</v>
      </c>
      <c r="D2246" s="141">
        <v>23272.399999999994</v>
      </c>
      <c r="E2246" s="141"/>
      <c r="F2246" s="141"/>
      <c r="G2246" s="141"/>
      <c r="J2246" s="141">
        <f t="shared" si="69"/>
        <v>1.0599999999999998</v>
      </c>
      <c r="K2246" s="141">
        <f t="shared" si="70"/>
        <v>74223.360000000001</v>
      </c>
    </row>
    <row r="2247" spans="1:16">
      <c r="A2247" s="141">
        <v>2247</v>
      </c>
      <c r="B2247" s="142">
        <v>44340</v>
      </c>
      <c r="C2247" s="143">
        <v>12.600000000000001</v>
      </c>
      <c r="D2247" s="141">
        <v>23284.999999999993</v>
      </c>
      <c r="E2247" s="141"/>
      <c r="F2247" s="141"/>
      <c r="G2247" s="141"/>
      <c r="J2247" s="141">
        <f t="shared" ref="J2247:J2310" si="71">J$1+(IF(J$3-$C2247&gt;0,J$3-$C2247,0)*J$2/30)</f>
        <v>0.90999999999999981</v>
      </c>
      <c r="K2247" s="141">
        <f t="shared" ref="K2247:K2310" si="72">K2246+J2247*24</f>
        <v>74245.2</v>
      </c>
    </row>
    <row r="2248" spans="1:16">
      <c r="A2248" s="141">
        <v>2248</v>
      </c>
      <c r="B2248" s="142">
        <v>44341</v>
      </c>
      <c r="C2248" s="143">
        <v>11.399999999999999</v>
      </c>
      <c r="D2248" s="141">
        <v>23296.399999999994</v>
      </c>
      <c r="E2248" s="141"/>
      <c r="F2248" s="141"/>
      <c r="G2248" s="141"/>
      <c r="J2248" s="141">
        <f t="shared" si="71"/>
        <v>1.0900000000000003</v>
      </c>
      <c r="K2248" s="141">
        <f t="shared" si="72"/>
        <v>74271.360000000001</v>
      </c>
    </row>
    <row r="2249" spans="1:16">
      <c r="A2249" s="141">
        <v>2249</v>
      </c>
      <c r="B2249" s="142">
        <v>44342</v>
      </c>
      <c r="C2249" s="143">
        <v>10.399999999999999</v>
      </c>
      <c r="D2249" s="141">
        <v>23306.799999999996</v>
      </c>
      <c r="E2249" s="141"/>
      <c r="F2249" s="141"/>
      <c r="G2249" s="141"/>
      <c r="J2249" s="141">
        <f t="shared" si="71"/>
        <v>1.2400000000000002</v>
      </c>
      <c r="K2249" s="141">
        <f t="shared" si="72"/>
        <v>74301.119999999995</v>
      </c>
    </row>
    <row r="2250" spans="1:16">
      <c r="A2250" s="141">
        <v>2250</v>
      </c>
      <c r="B2250" s="142">
        <v>44343</v>
      </c>
      <c r="C2250" s="143">
        <v>11.899999999999999</v>
      </c>
      <c r="D2250" s="141">
        <v>23318.699999999997</v>
      </c>
      <c r="E2250" s="141"/>
      <c r="F2250" s="141"/>
      <c r="G2250" s="141"/>
      <c r="J2250" s="141">
        <f t="shared" si="71"/>
        <v>1.0150000000000001</v>
      </c>
      <c r="K2250" s="141">
        <f t="shared" si="72"/>
        <v>74325.48</v>
      </c>
    </row>
    <row r="2251" spans="1:16">
      <c r="A2251" s="141">
        <v>2251</v>
      </c>
      <c r="B2251" s="142">
        <v>44344</v>
      </c>
      <c r="C2251" s="143">
        <v>11.899999999999999</v>
      </c>
      <c r="D2251" s="141">
        <v>23330.6</v>
      </c>
      <c r="E2251" s="141"/>
      <c r="F2251" s="141"/>
      <c r="G2251" s="141"/>
      <c r="J2251" s="141">
        <f t="shared" si="71"/>
        <v>1.0150000000000001</v>
      </c>
      <c r="K2251" s="141">
        <f t="shared" si="72"/>
        <v>74349.84</v>
      </c>
    </row>
    <row r="2252" spans="1:16">
      <c r="A2252" s="141">
        <v>2252</v>
      </c>
      <c r="B2252" s="142">
        <v>44345</v>
      </c>
      <c r="C2252" s="143">
        <v>11.5</v>
      </c>
      <c r="D2252" s="141">
        <v>23342.1</v>
      </c>
      <c r="E2252" s="141"/>
      <c r="F2252" s="141"/>
      <c r="G2252" s="141"/>
      <c r="J2252" s="141">
        <f t="shared" si="71"/>
        <v>1.075</v>
      </c>
      <c r="K2252" s="141">
        <f t="shared" si="72"/>
        <v>74375.64</v>
      </c>
    </row>
    <row r="2253" spans="1:16">
      <c r="A2253" s="141">
        <v>2253</v>
      </c>
      <c r="B2253" s="142">
        <v>44346</v>
      </c>
      <c r="C2253" s="143">
        <v>10.8</v>
      </c>
      <c r="D2253" s="141">
        <v>23352.899999999998</v>
      </c>
      <c r="E2253" s="141"/>
      <c r="F2253" s="141"/>
      <c r="G2253" s="141"/>
      <c r="J2253" s="141">
        <f t="shared" si="71"/>
        <v>1.18</v>
      </c>
      <c r="K2253" s="141">
        <f t="shared" si="72"/>
        <v>74403.960000000006</v>
      </c>
    </row>
    <row r="2254" spans="1:16">
      <c r="A2254" s="141">
        <v>2254</v>
      </c>
      <c r="B2254" s="142">
        <v>44347</v>
      </c>
      <c r="C2254" s="143">
        <v>12.600000000000001</v>
      </c>
      <c r="D2254" s="141">
        <v>23365.499999999996</v>
      </c>
      <c r="E2254" s="141"/>
      <c r="F2254" s="141"/>
      <c r="G2254" s="141"/>
      <c r="J2254" s="141">
        <f t="shared" si="71"/>
        <v>0.90999999999999981</v>
      </c>
      <c r="K2254" s="141">
        <f t="shared" si="72"/>
        <v>74425.8</v>
      </c>
    </row>
    <row r="2255" spans="1:16">
      <c r="A2255" s="141">
        <v>2255</v>
      </c>
      <c r="B2255" s="142">
        <v>44348</v>
      </c>
      <c r="C2255" s="143">
        <v>14.7</v>
      </c>
      <c r="D2255" s="141">
        <v>23380.199999999997</v>
      </c>
      <c r="E2255" s="141"/>
      <c r="F2255" s="141"/>
      <c r="G2255" s="141"/>
      <c r="J2255" s="141">
        <f t="shared" si="71"/>
        <v>0.59500000000000008</v>
      </c>
      <c r="K2255" s="141">
        <f t="shared" si="72"/>
        <v>74440.08</v>
      </c>
    </row>
    <row r="2256" spans="1:16">
      <c r="A2256" s="141">
        <v>2256</v>
      </c>
      <c r="B2256" s="142">
        <v>44349</v>
      </c>
      <c r="C2256" s="143">
        <v>16.7</v>
      </c>
      <c r="D2256" s="141">
        <v>23396.899999999998</v>
      </c>
      <c r="E2256" s="141"/>
      <c r="F2256" s="141"/>
      <c r="G2256" s="141"/>
      <c r="J2256" s="141">
        <f t="shared" si="71"/>
        <v>0.2950000000000001</v>
      </c>
      <c r="K2256" s="141">
        <f t="shared" si="72"/>
        <v>74447.16</v>
      </c>
    </row>
    <row r="2257" spans="1:11">
      <c r="A2257" s="141">
        <v>2257</v>
      </c>
      <c r="B2257" s="142">
        <v>44350</v>
      </c>
      <c r="C2257" s="143">
        <v>18.100000000000001</v>
      </c>
      <c r="D2257" s="141">
        <v>23414.999999999996</v>
      </c>
      <c r="E2257" s="141"/>
      <c r="F2257" s="141"/>
      <c r="G2257" s="141"/>
      <c r="J2257" s="141">
        <f t="shared" si="71"/>
        <v>0.25</v>
      </c>
      <c r="K2257" s="141">
        <f t="shared" si="72"/>
        <v>74453.16</v>
      </c>
    </row>
    <row r="2258" spans="1:11">
      <c r="A2258" s="141">
        <v>2258</v>
      </c>
      <c r="B2258" s="142">
        <v>44351</v>
      </c>
      <c r="C2258" s="143">
        <v>20.100000000000001</v>
      </c>
      <c r="D2258" s="141">
        <v>23435.099999999995</v>
      </c>
      <c r="E2258" s="141"/>
      <c r="F2258" s="141"/>
      <c r="G2258" s="141"/>
      <c r="J2258" s="141">
        <f t="shared" si="71"/>
        <v>0.25</v>
      </c>
      <c r="K2258" s="141">
        <f t="shared" si="72"/>
        <v>74459.16</v>
      </c>
    </row>
    <row r="2259" spans="1:11">
      <c r="A2259" s="141">
        <v>2259</v>
      </c>
      <c r="B2259" s="142">
        <v>44352</v>
      </c>
      <c r="C2259" s="143">
        <v>21</v>
      </c>
      <c r="D2259" s="141">
        <v>23456.099999999995</v>
      </c>
      <c r="E2259" s="141"/>
      <c r="F2259" s="141"/>
      <c r="G2259" s="141"/>
      <c r="J2259" s="141">
        <f t="shared" si="71"/>
        <v>0.25</v>
      </c>
      <c r="K2259" s="141">
        <f t="shared" si="72"/>
        <v>74465.16</v>
      </c>
    </row>
    <row r="2260" spans="1:11">
      <c r="A2260" s="141">
        <v>2260</v>
      </c>
      <c r="B2260" s="142">
        <v>44353</v>
      </c>
      <c r="C2260" s="143">
        <v>20.5</v>
      </c>
      <c r="D2260" s="141">
        <v>23476.599999999995</v>
      </c>
      <c r="E2260" s="141"/>
      <c r="F2260" s="141"/>
      <c r="G2260" s="141"/>
      <c r="J2260" s="141">
        <f t="shared" si="71"/>
        <v>0.25</v>
      </c>
      <c r="K2260" s="141">
        <f t="shared" si="72"/>
        <v>74471.16</v>
      </c>
    </row>
    <row r="2261" spans="1:11">
      <c r="A2261" s="141">
        <v>2261</v>
      </c>
      <c r="B2261" s="142">
        <v>44354</v>
      </c>
      <c r="C2261" s="143">
        <v>19.8</v>
      </c>
      <c r="D2261" s="141">
        <v>23496.399999999994</v>
      </c>
      <c r="E2261" s="141"/>
      <c r="F2261" s="141"/>
      <c r="G2261" s="141"/>
      <c r="J2261" s="141">
        <f t="shared" si="71"/>
        <v>0.25</v>
      </c>
      <c r="K2261" s="141">
        <f t="shared" si="72"/>
        <v>74477.16</v>
      </c>
    </row>
    <row r="2262" spans="1:11">
      <c r="A2262" s="141">
        <v>2262</v>
      </c>
      <c r="B2262" s="142">
        <v>44355</v>
      </c>
      <c r="C2262" s="143">
        <v>21</v>
      </c>
      <c r="D2262" s="141">
        <v>23517.399999999994</v>
      </c>
      <c r="E2262" s="141"/>
      <c r="F2262" s="141"/>
      <c r="G2262" s="141"/>
      <c r="J2262" s="141">
        <f t="shared" si="71"/>
        <v>0.25</v>
      </c>
      <c r="K2262" s="141">
        <f t="shared" si="72"/>
        <v>74483.16</v>
      </c>
    </row>
    <row r="2263" spans="1:11">
      <c r="A2263" s="141">
        <v>2263</v>
      </c>
      <c r="B2263" s="142">
        <v>44356</v>
      </c>
      <c r="C2263" s="143">
        <v>19.3</v>
      </c>
      <c r="D2263" s="141">
        <v>23536.699999999993</v>
      </c>
      <c r="E2263" s="141"/>
      <c r="F2263" s="141"/>
      <c r="G2263" s="141"/>
      <c r="J2263" s="141">
        <f t="shared" si="71"/>
        <v>0.25</v>
      </c>
      <c r="K2263" s="141">
        <f t="shared" si="72"/>
        <v>74489.16</v>
      </c>
    </row>
    <row r="2264" spans="1:11">
      <c r="A2264" s="141">
        <v>2264</v>
      </c>
      <c r="B2264" s="142">
        <v>44357</v>
      </c>
      <c r="C2264" s="143">
        <v>18</v>
      </c>
      <c r="D2264" s="141">
        <v>23554.699999999993</v>
      </c>
      <c r="E2264" s="141"/>
      <c r="F2264" s="141"/>
      <c r="G2264" s="141"/>
      <c r="J2264" s="141">
        <f t="shared" si="71"/>
        <v>0.25</v>
      </c>
      <c r="K2264" s="141">
        <f t="shared" si="72"/>
        <v>74495.16</v>
      </c>
    </row>
    <row r="2265" spans="1:11">
      <c r="A2265" s="141">
        <v>2265</v>
      </c>
      <c r="B2265" s="142">
        <v>44358</v>
      </c>
      <c r="C2265" s="143">
        <v>19.7</v>
      </c>
      <c r="D2265" s="141">
        <v>23574.399999999994</v>
      </c>
      <c r="E2265" s="141"/>
      <c r="F2265" s="141"/>
      <c r="G2265" s="141"/>
      <c r="J2265" s="141">
        <f t="shared" si="71"/>
        <v>0.25</v>
      </c>
      <c r="K2265" s="141">
        <f t="shared" si="72"/>
        <v>74501.16</v>
      </c>
    </row>
    <row r="2266" spans="1:11">
      <c r="A2266" s="141">
        <v>2266</v>
      </c>
      <c r="B2266" s="142">
        <v>44359</v>
      </c>
      <c r="C2266" s="143">
        <v>19.399999999999999</v>
      </c>
      <c r="D2266" s="141">
        <v>23593.799999999996</v>
      </c>
      <c r="E2266" s="141"/>
      <c r="F2266" s="141"/>
      <c r="G2266" s="141"/>
      <c r="J2266" s="141">
        <f t="shared" si="71"/>
        <v>0.25</v>
      </c>
      <c r="K2266" s="141">
        <f t="shared" si="72"/>
        <v>74507.16</v>
      </c>
    </row>
    <row r="2267" spans="1:11">
      <c r="A2267" s="141">
        <v>2267</v>
      </c>
      <c r="B2267" s="142">
        <v>44360</v>
      </c>
      <c r="C2267" s="143">
        <v>13.7</v>
      </c>
      <c r="D2267" s="141">
        <v>23607.499999999996</v>
      </c>
      <c r="E2267" s="141"/>
      <c r="F2267" s="141"/>
      <c r="G2267" s="141"/>
      <c r="J2267" s="141">
        <f t="shared" si="71"/>
        <v>0.74500000000000011</v>
      </c>
      <c r="K2267" s="141">
        <f t="shared" si="72"/>
        <v>74525.040000000008</v>
      </c>
    </row>
    <row r="2268" spans="1:11">
      <c r="A2268" s="141">
        <v>2268</v>
      </c>
      <c r="B2268" s="142">
        <v>44361</v>
      </c>
      <c r="C2268" s="143">
        <v>15.8</v>
      </c>
      <c r="D2268" s="141">
        <v>23623.299999999996</v>
      </c>
      <c r="E2268" s="141"/>
      <c r="F2268" s="141"/>
      <c r="G2268" s="141"/>
      <c r="J2268" s="141">
        <f t="shared" si="71"/>
        <v>0.42999999999999988</v>
      </c>
      <c r="K2268" s="141">
        <f t="shared" si="72"/>
        <v>74535.360000000015</v>
      </c>
    </row>
    <row r="2269" spans="1:11">
      <c r="A2269" s="141">
        <v>2269</v>
      </c>
      <c r="B2269" s="142">
        <v>44362</v>
      </c>
      <c r="C2269" s="141">
        <v>20.399999999999999</v>
      </c>
      <c r="D2269" s="138">
        <v>23643.699999999997</v>
      </c>
      <c r="E2269" s="141"/>
      <c r="F2269" s="141"/>
      <c r="G2269" s="141"/>
      <c r="J2269" s="141">
        <f t="shared" si="71"/>
        <v>0.25</v>
      </c>
      <c r="K2269" s="141">
        <f t="shared" si="72"/>
        <v>74541.360000000015</v>
      </c>
    </row>
    <row r="2270" spans="1:11">
      <c r="A2270" s="141">
        <v>2270</v>
      </c>
      <c r="B2270" s="142">
        <v>44363</v>
      </c>
      <c r="C2270" s="141">
        <v>22.6</v>
      </c>
      <c r="D2270" s="141">
        <v>23666.299999999996</v>
      </c>
      <c r="E2270" s="141"/>
      <c r="F2270" s="141"/>
      <c r="G2270" s="141"/>
      <c r="J2270" s="141">
        <f t="shared" si="71"/>
        <v>0.25</v>
      </c>
      <c r="K2270" s="141">
        <f t="shared" si="72"/>
        <v>74547.360000000015</v>
      </c>
    </row>
    <row r="2271" spans="1:11">
      <c r="A2271" s="141">
        <v>2271</v>
      </c>
      <c r="B2271" s="142">
        <v>44364</v>
      </c>
      <c r="C2271" s="141">
        <v>23.5</v>
      </c>
      <c r="D2271" s="141">
        <v>23689.799999999996</v>
      </c>
      <c r="E2271" s="141"/>
      <c r="F2271" s="141"/>
      <c r="G2271" s="141"/>
      <c r="J2271" s="141">
        <f t="shared" si="71"/>
        <v>0.25</v>
      </c>
      <c r="K2271" s="141">
        <f t="shared" si="72"/>
        <v>74553.360000000015</v>
      </c>
    </row>
    <row r="2272" spans="1:11">
      <c r="A2272" s="141">
        <v>2272</v>
      </c>
      <c r="B2272" s="142">
        <v>44365</v>
      </c>
      <c r="C2272" s="141">
        <v>24.5</v>
      </c>
      <c r="D2272" s="141">
        <v>23714.299999999996</v>
      </c>
      <c r="E2272" s="141"/>
      <c r="F2272" s="141"/>
      <c r="G2272" s="141"/>
      <c r="J2272" s="141">
        <f t="shared" si="71"/>
        <v>0.25</v>
      </c>
      <c r="K2272" s="141">
        <f t="shared" si="72"/>
        <v>74559.360000000015</v>
      </c>
    </row>
    <row r="2273" spans="1:11">
      <c r="A2273" s="141">
        <v>2273</v>
      </c>
      <c r="B2273" s="142">
        <v>44366</v>
      </c>
      <c r="C2273" s="141">
        <v>25</v>
      </c>
      <c r="D2273" s="141">
        <v>23739.299999999996</v>
      </c>
      <c r="E2273" s="141"/>
      <c r="F2273" s="141"/>
      <c r="G2273" s="141"/>
      <c r="J2273" s="141">
        <f t="shared" si="71"/>
        <v>0.25</v>
      </c>
      <c r="K2273" s="141">
        <f t="shared" si="72"/>
        <v>74565.360000000015</v>
      </c>
    </row>
    <row r="2274" spans="1:11">
      <c r="A2274" s="141">
        <v>2274</v>
      </c>
      <c r="B2274" s="142">
        <v>44367</v>
      </c>
      <c r="C2274" s="141">
        <v>25.8</v>
      </c>
      <c r="D2274" s="141">
        <v>23765.099999999995</v>
      </c>
      <c r="E2274" s="141"/>
      <c r="F2274" s="141"/>
      <c r="G2274" s="141"/>
      <c r="J2274" s="141">
        <f t="shared" si="71"/>
        <v>0.25</v>
      </c>
      <c r="K2274" s="141">
        <f t="shared" si="72"/>
        <v>74571.360000000015</v>
      </c>
    </row>
    <row r="2275" spans="1:11">
      <c r="A2275" s="141">
        <v>2275</v>
      </c>
      <c r="B2275" s="142">
        <v>44368</v>
      </c>
      <c r="C2275" s="141">
        <v>26</v>
      </c>
      <c r="D2275" s="141">
        <v>23791.099999999995</v>
      </c>
      <c r="E2275" s="141"/>
      <c r="F2275" s="141"/>
      <c r="G2275" s="141"/>
      <c r="J2275" s="141">
        <f t="shared" si="71"/>
        <v>0.25</v>
      </c>
      <c r="K2275" s="141">
        <f t="shared" si="72"/>
        <v>74577.360000000015</v>
      </c>
    </row>
    <row r="2276" spans="1:11">
      <c r="A2276" s="141">
        <v>2276</v>
      </c>
      <c r="B2276" s="142">
        <v>44369</v>
      </c>
      <c r="C2276" s="141">
        <v>18.7</v>
      </c>
      <c r="D2276" s="141">
        <v>23809.799999999996</v>
      </c>
      <c r="E2276" s="141"/>
      <c r="F2276" s="141"/>
      <c r="G2276" s="141"/>
      <c r="J2276" s="141">
        <f t="shared" si="71"/>
        <v>0.25</v>
      </c>
      <c r="K2276" s="141">
        <f t="shared" si="72"/>
        <v>74583.360000000015</v>
      </c>
    </row>
    <row r="2277" spans="1:11">
      <c r="A2277" s="141">
        <v>2277</v>
      </c>
      <c r="B2277" s="142">
        <v>44370</v>
      </c>
      <c r="C2277" s="141">
        <v>18.3</v>
      </c>
      <c r="D2277" s="141">
        <v>23828.099999999995</v>
      </c>
      <c r="E2277" s="141"/>
      <c r="F2277" s="141"/>
      <c r="G2277" s="141"/>
      <c r="J2277" s="141">
        <f t="shared" si="71"/>
        <v>0.25</v>
      </c>
      <c r="K2277" s="141">
        <f t="shared" si="72"/>
        <v>74589.360000000015</v>
      </c>
    </row>
    <row r="2278" spans="1:11">
      <c r="A2278" s="141">
        <v>2278</v>
      </c>
      <c r="B2278" s="142">
        <v>44371</v>
      </c>
      <c r="C2278" s="141">
        <v>19.600000000000001</v>
      </c>
      <c r="D2278" s="141">
        <v>23847.699999999993</v>
      </c>
      <c r="E2278" s="141"/>
      <c r="F2278" s="141"/>
      <c r="G2278" s="141"/>
      <c r="J2278" s="141">
        <f t="shared" si="71"/>
        <v>0.25</v>
      </c>
      <c r="K2278" s="141">
        <f t="shared" si="72"/>
        <v>74595.360000000015</v>
      </c>
    </row>
    <row r="2279" spans="1:11">
      <c r="A2279" s="141">
        <v>2279</v>
      </c>
      <c r="B2279" s="142">
        <v>44372</v>
      </c>
      <c r="C2279" s="141">
        <v>17.2</v>
      </c>
      <c r="D2279" s="141">
        <v>23864.899999999994</v>
      </c>
      <c r="E2279" s="141"/>
      <c r="F2279" s="141"/>
      <c r="G2279" s="141"/>
      <c r="J2279" s="141">
        <f t="shared" si="71"/>
        <v>0.25</v>
      </c>
      <c r="K2279" s="141">
        <f t="shared" si="72"/>
        <v>74601.360000000015</v>
      </c>
    </row>
    <row r="2280" spans="1:11">
      <c r="A2280" s="141">
        <v>2280</v>
      </c>
      <c r="B2280" s="142">
        <v>44373</v>
      </c>
      <c r="C2280" s="141">
        <v>18.8</v>
      </c>
      <c r="D2280" s="141">
        <v>23883.699999999993</v>
      </c>
      <c r="E2280" s="141"/>
      <c r="F2280" s="141"/>
      <c r="G2280" s="141"/>
      <c r="J2280" s="141">
        <f t="shared" si="71"/>
        <v>0.25</v>
      </c>
      <c r="K2280" s="141">
        <f t="shared" si="72"/>
        <v>74607.360000000015</v>
      </c>
    </row>
    <row r="2281" spans="1:11">
      <c r="A2281" s="141">
        <v>2281</v>
      </c>
      <c r="B2281" s="142">
        <v>44374</v>
      </c>
      <c r="C2281" s="141">
        <v>19.7</v>
      </c>
      <c r="D2281" s="141">
        <v>23903.399999999994</v>
      </c>
      <c r="E2281" s="141"/>
      <c r="F2281" s="141"/>
      <c r="G2281" s="141"/>
      <c r="J2281" s="141">
        <f t="shared" si="71"/>
        <v>0.25</v>
      </c>
      <c r="K2281" s="141">
        <f t="shared" si="72"/>
        <v>74613.360000000015</v>
      </c>
    </row>
    <row r="2282" spans="1:11">
      <c r="A2282" s="141">
        <v>2282</v>
      </c>
      <c r="B2282" s="142">
        <v>44375</v>
      </c>
      <c r="C2282" s="141">
        <v>21.4</v>
      </c>
      <c r="D2282" s="141">
        <v>23924.799999999996</v>
      </c>
      <c r="E2282" s="141"/>
      <c r="F2282" s="141"/>
      <c r="G2282" s="141"/>
      <c r="J2282" s="141">
        <f t="shared" si="71"/>
        <v>0.25</v>
      </c>
      <c r="K2282" s="141">
        <f t="shared" si="72"/>
        <v>74619.360000000015</v>
      </c>
    </row>
    <row r="2283" spans="1:11">
      <c r="A2283" s="141">
        <v>2283</v>
      </c>
      <c r="B2283" s="142">
        <v>44376</v>
      </c>
      <c r="C2283" s="141">
        <v>21.9</v>
      </c>
      <c r="D2283" s="141">
        <v>23946.699999999997</v>
      </c>
      <c r="E2283" s="141"/>
      <c r="F2283" s="141"/>
      <c r="G2283" s="141"/>
      <c r="J2283" s="141">
        <f t="shared" si="71"/>
        <v>0.25</v>
      </c>
      <c r="K2283" s="141">
        <f t="shared" si="72"/>
        <v>74625.360000000015</v>
      </c>
    </row>
    <row r="2284" spans="1:11">
      <c r="A2284" s="141">
        <v>2284</v>
      </c>
      <c r="B2284" s="142">
        <v>44377</v>
      </c>
      <c r="C2284" s="141">
        <v>18.5</v>
      </c>
      <c r="D2284" s="141">
        <v>23965.199999999997</v>
      </c>
      <c r="E2284" s="141"/>
      <c r="F2284" s="141"/>
      <c r="G2284" s="141"/>
      <c r="J2284" s="141">
        <f t="shared" si="71"/>
        <v>0.25</v>
      </c>
      <c r="K2284" s="141">
        <f t="shared" si="72"/>
        <v>74631.360000000015</v>
      </c>
    </row>
    <row r="2285" spans="1:11">
      <c r="A2285" s="141">
        <v>2285</v>
      </c>
      <c r="B2285" s="142">
        <v>44378</v>
      </c>
      <c r="C2285" s="141">
        <v>16.600000000000001</v>
      </c>
      <c r="D2285" s="141">
        <v>23981.799999999996</v>
      </c>
      <c r="E2285" s="141"/>
      <c r="F2285" s="141"/>
      <c r="G2285" s="141"/>
      <c r="J2285" s="141">
        <f t="shared" si="71"/>
        <v>0.30999999999999978</v>
      </c>
      <c r="K2285" s="141">
        <f t="shared" si="72"/>
        <v>74638.800000000017</v>
      </c>
    </row>
    <row r="2286" spans="1:11">
      <c r="A2286" s="141">
        <v>2286</v>
      </c>
      <c r="B2286" s="142">
        <v>44379</v>
      </c>
      <c r="C2286" s="141">
        <v>15.4</v>
      </c>
      <c r="D2286" s="141">
        <v>23997.199999999997</v>
      </c>
      <c r="E2286" s="141"/>
      <c r="F2286" s="141"/>
      <c r="G2286" s="141"/>
      <c r="J2286" s="141">
        <f t="shared" si="71"/>
        <v>0.48999999999999994</v>
      </c>
      <c r="K2286" s="141">
        <f t="shared" si="72"/>
        <v>74650.560000000012</v>
      </c>
    </row>
    <row r="2287" spans="1:11">
      <c r="A2287" s="141">
        <v>2287</v>
      </c>
      <c r="B2287" s="142">
        <v>44380</v>
      </c>
      <c r="C2287" s="141">
        <v>18</v>
      </c>
      <c r="D2287" s="141">
        <v>24015.199999999997</v>
      </c>
      <c r="E2287" s="141"/>
      <c r="F2287" s="141"/>
      <c r="G2287" s="141"/>
      <c r="J2287" s="141">
        <f t="shared" si="71"/>
        <v>0.25</v>
      </c>
      <c r="K2287" s="141">
        <f t="shared" si="72"/>
        <v>74656.560000000012</v>
      </c>
    </row>
    <row r="2288" spans="1:11">
      <c r="A2288" s="141">
        <v>2288</v>
      </c>
      <c r="B2288" s="142">
        <v>44381</v>
      </c>
      <c r="C2288" s="141">
        <v>19.2</v>
      </c>
      <c r="D2288" s="141">
        <v>24034.399999999998</v>
      </c>
      <c r="E2288" s="141"/>
      <c r="F2288" s="141"/>
      <c r="G2288" s="141"/>
      <c r="J2288" s="141">
        <f t="shared" si="71"/>
        <v>0.25</v>
      </c>
      <c r="K2288" s="141">
        <f t="shared" si="72"/>
        <v>74662.560000000012</v>
      </c>
    </row>
    <row r="2289" spans="1:11">
      <c r="A2289" s="141">
        <v>2289</v>
      </c>
      <c r="B2289" s="142">
        <v>44382</v>
      </c>
      <c r="C2289" s="141">
        <v>19.899999999999999</v>
      </c>
      <c r="D2289" s="141">
        <v>24054.3</v>
      </c>
      <c r="E2289" s="141"/>
      <c r="F2289" s="141"/>
      <c r="G2289" s="141"/>
      <c r="J2289" s="141">
        <f t="shared" si="71"/>
        <v>0.25</v>
      </c>
      <c r="K2289" s="141">
        <f t="shared" si="72"/>
        <v>74668.560000000012</v>
      </c>
    </row>
    <row r="2290" spans="1:11">
      <c r="A2290" s="141">
        <v>2290</v>
      </c>
      <c r="B2290" s="142">
        <v>44383</v>
      </c>
      <c r="C2290" s="141">
        <v>22.4</v>
      </c>
      <c r="D2290" s="141">
        <v>24076.7</v>
      </c>
      <c r="E2290" s="141"/>
      <c r="F2290" s="141"/>
      <c r="G2290" s="141"/>
      <c r="J2290" s="141">
        <f t="shared" si="71"/>
        <v>0.25</v>
      </c>
      <c r="K2290" s="141">
        <f t="shared" si="72"/>
        <v>74674.560000000012</v>
      </c>
    </row>
    <row r="2291" spans="1:11">
      <c r="A2291" s="141">
        <v>2291</v>
      </c>
      <c r="B2291" s="142">
        <v>44384</v>
      </c>
      <c r="C2291" s="141">
        <v>19.3</v>
      </c>
      <c r="D2291" s="141">
        <v>24096</v>
      </c>
      <c r="E2291" s="141"/>
      <c r="F2291" s="141"/>
      <c r="G2291" s="141"/>
      <c r="J2291" s="141">
        <f t="shared" si="71"/>
        <v>0.25</v>
      </c>
      <c r="K2291" s="141">
        <f t="shared" si="72"/>
        <v>74680.560000000012</v>
      </c>
    </row>
    <row r="2292" spans="1:11">
      <c r="A2292" s="141">
        <v>2292</v>
      </c>
      <c r="B2292" s="142">
        <v>44385</v>
      </c>
      <c r="C2292" s="141">
        <v>18.899999999999999</v>
      </c>
      <c r="D2292" s="141">
        <v>24114.9</v>
      </c>
      <c r="E2292" s="141"/>
      <c r="F2292" s="141"/>
      <c r="G2292" s="141"/>
      <c r="J2292" s="141">
        <f t="shared" si="71"/>
        <v>0.25</v>
      </c>
      <c r="K2292" s="141">
        <f t="shared" si="72"/>
        <v>74686.560000000012</v>
      </c>
    </row>
    <row r="2293" spans="1:11">
      <c r="A2293" s="141">
        <v>2293</v>
      </c>
      <c r="B2293" s="142">
        <v>44386</v>
      </c>
      <c r="C2293" s="141">
        <v>19.100000000000001</v>
      </c>
      <c r="D2293" s="141">
        <v>24134</v>
      </c>
      <c r="E2293" s="141"/>
      <c r="F2293" s="141"/>
      <c r="G2293" s="141"/>
      <c r="J2293" s="141">
        <f t="shared" si="71"/>
        <v>0.25</v>
      </c>
      <c r="K2293" s="141">
        <f t="shared" si="72"/>
        <v>74692.560000000012</v>
      </c>
    </row>
    <row r="2294" spans="1:11">
      <c r="A2294" s="141">
        <v>2294</v>
      </c>
      <c r="B2294" s="142">
        <v>44387</v>
      </c>
      <c r="C2294" s="141">
        <v>18.7</v>
      </c>
      <c r="D2294" s="141">
        <v>24152.7</v>
      </c>
      <c r="E2294" s="141"/>
      <c r="F2294" s="141"/>
      <c r="G2294" s="141"/>
      <c r="J2294" s="141">
        <f t="shared" si="71"/>
        <v>0.25</v>
      </c>
      <c r="K2294" s="141">
        <f t="shared" si="72"/>
        <v>74698.560000000012</v>
      </c>
    </row>
    <row r="2295" spans="1:11">
      <c r="A2295" s="141">
        <v>2295</v>
      </c>
      <c r="B2295" s="142">
        <v>44388</v>
      </c>
      <c r="C2295" s="141">
        <v>18.7</v>
      </c>
      <c r="D2295" s="141">
        <v>24171.4</v>
      </c>
      <c r="E2295" s="141"/>
      <c r="F2295" s="141"/>
      <c r="G2295" s="141"/>
      <c r="J2295" s="141">
        <f t="shared" si="71"/>
        <v>0.25</v>
      </c>
      <c r="K2295" s="141">
        <f t="shared" si="72"/>
        <v>74704.560000000012</v>
      </c>
    </row>
    <row r="2296" spans="1:11">
      <c r="A2296" s="141">
        <v>2296</v>
      </c>
      <c r="B2296" s="142">
        <v>44389</v>
      </c>
      <c r="C2296" s="141">
        <v>18.7</v>
      </c>
      <c r="D2296" s="141">
        <v>24190.100000000002</v>
      </c>
      <c r="E2296" s="141"/>
      <c r="F2296" s="141"/>
      <c r="G2296" s="141"/>
      <c r="J2296" s="141">
        <f t="shared" si="71"/>
        <v>0.25</v>
      </c>
      <c r="K2296" s="141">
        <f t="shared" si="72"/>
        <v>74710.560000000012</v>
      </c>
    </row>
    <row r="2297" spans="1:11">
      <c r="A2297" s="141">
        <v>2297</v>
      </c>
      <c r="B2297" s="142">
        <v>44390</v>
      </c>
      <c r="C2297" s="141">
        <v>22</v>
      </c>
      <c r="D2297" s="141">
        <v>24212.100000000002</v>
      </c>
      <c r="E2297" s="141"/>
      <c r="F2297" s="141"/>
      <c r="G2297" s="141"/>
      <c r="J2297" s="141">
        <f t="shared" si="71"/>
        <v>0.25</v>
      </c>
      <c r="K2297" s="141">
        <f t="shared" si="72"/>
        <v>74716.560000000012</v>
      </c>
    </row>
    <row r="2298" spans="1:11">
      <c r="A2298" s="141">
        <v>2298</v>
      </c>
      <c r="B2298" s="142">
        <v>44391</v>
      </c>
      <c r="C2298" s="141">
        <v>18.600000000000001</v>
      </c>
      <c r="D2298" s="141">
        <v>24230.7</v>
      </c>
      <c r="E2298" s="141"/>
      <c r="F2298" s="141"/>
      <c r="G2298" s="141"/>
      <c r="J2298" s="141">
        <f t="shared" si="71"/>
        <v>0.25</v>
      </c>
      <c r="K2298" s="141">
        <f t="shared" si="72"/>
        <v>74722.560000000012</v>
      </c>
    </row>
    <row r="2299" spans="1:11">
      <c r="A2299" s="141">
        <v>2299</v>
      </c>
      <c r="B2299" s="142">
        <v>44392</v>
      </c>
      <c r="C2299" s="141">
        <v>19</v>
      </c>
      <c r="D2299" s="141">
        <v>24249.7</v>
      </c>
      <c r="E2299" s="141"/>
      <c r="F2299" s="141"/>
      <c r="G2299" s="141"/>
      <c r="J2299" s="141">
        <f t="shared" si="71"/>
        <v>0.25</v>
      </c>
      <c r="K2299" s="141">
        <f t="shared" si="72"/>
        <v>74728.560000000012</v>
      </c>
    </row>
    <row r="2300" spans="1:11">
      <c r="A2300" s="141">
        <v>2300</v>
      </c>
      <c r="B2300" s="142">
        <v>44393</v>
      </c>
      <c r="C2300" s="141">
        <v>20.6</v>
      </c>
      <c r="D2300" s="141">
        <v>24270.3</v>
      </c>
      <c r="E2300" s="141"/>
      <c r="F2300" s="141"/>
      <c r="G2300" s="141"/>
      <c r="J2300" s="141">
        <f t="shared" si="71"/>
        <v>0.25</v>
      </c>
      <c r="K2300" s="141">
        <f t="shared" si="72"/>
        <v>74734.560000000012</v>
      </c>
    </row>
    <row r="2301" spans="1:11">
      <c r="A2301" s="141">
        <v>2301</v>
      </c>
      <c r="B2301" s="142">
        <v>44394</v>
      </c>
      <c r="C2301" s="141">
        <v>20.6</v>
      </c>
      <c r="D2301" s="141">
        <v>24290.899999999998</v>
      </c>
      <c r="E2301" s="141"/>
      <c r="F2301" s="141"/>
      <c r="G2301" s="141"/>
      <c r="J2301" s="141">
        <f t="shared" si="71"/>
        <v>0.25</v>
      </c>
      <c r="K2301" s="141">
        <f t="shared" si="72"/>
        <v>74740.560000000012</v>
      </c>
    </row>
    <row r="2302" spans="1:11">
      <c r="A2302" s="141">
        <v>2302</v>
      </c>
      <c r="B2302" s="142">
        <v>44395</v>
      </c>
      <c r="C2302" s="141">
        <v>21.7</v>
      </c>
      <c r="D2302" s="141">
        <v>24312.6</v>
      </c>
      <c r="E2302" s="141"/>
      <c r="F2302" s="141"/>
      <c r="G2302" s="141"/>
      <c r="J2302" s="141">
        <f t="shared" si="71"/>
        <v>0.25</v>
      </c>
      <c r="K2302" s="141">
        <f t="shared" si="72"/>
        <v>74746.560000000012</v>
      </c>
    </row>
    <row r="2303" spans="1:11">
      <c r="A2303" s="141">
        <v>2303</v>
      </c>
      <c r="B2303" s="142">
        <v>44396</v>
      </c>
      <c r="C2303" s="141">
        <v>18.8</v>
      </c>
      <c r="D2303" s="141">
        <v>24331.399999999998</v>
      </c>
      <c r="E2303" s="141"/>
      <c r="F2303" s="141"/>
      <c r="G2303" s="141"/>
      <c r="J2303" s="141">
        <f t="shared" si="71"/>
        <v>0.25</v>
      </c>
      <c r="K2303" s="141">
        <f t="shared" si="72"/>
        <v>74752.560000000012</v>
      </c>
    </row>
    <row r="2304" spans="1:11">
      <c r="A2304" s="141">
        <v>2304</v>
      </c>
      <c r="B2304" s="142">
        <v>44397</v>
      </c>
      <c r="C2304" s="141">
        <v>16.3</v>
      </c>
      <c r="D2304" s="141">
        <v>24347.699999999997</v>
      </c>
      <c r="E2304" s="141"/>
      <c r="F2304" s="141"/>
      <c r="G2304" s="141"/>
      <c r="J2304" s="141">
        <f t="shared" si="71"/>
        <v>0.35499999999999987</v>
      </c>
      <c r="K2304" s="141">
        <f t="shared" si="72"/>
        <v>74761.080000000016</v>
      </c>
    </row>
    <row r="2305" spans="1:11">
      <c r="A2305" s="141">
        <v>2305</v>
      </c>
      <c r="B2305" s="142">
        <v>44398</v>
      </c>
      <c r="C2305" s="141">
        <v>17.3</v>
      </c>
      <c r="D2305" s="141">
        <v>24364.999999999996</v>
      </c>
      <c r="E2305" s="141"/>
      <c r="F2305" s="141"/>
      <c r="G2305" s="141"/>
      <c r="J2305" s="141">
        <f t="shared" si="71"/>
        <v>0.25</v>
      </c>
      <c r="K2305" s="141">
        <f t="shared" si="72"/>
        <v>74767.080000000016</v>
      </c>
    </row>
    <row r="2306" spans="1:11">
      <c r="A2306" s="141">
        <v>2306</v>
      </c>
      <c r="B2306" s="142">
        <v>44399</v>
      </c>
      <c r="C2306" s="141">
        <v>19.3</v>
      </c>
      <c r="D2306" s="141">
        <v>24384.299999999996</v>
      </c>
      <c r="E2306" s="141"/>
      <c r="F2306" s="141"/>
      <c r="G2306" s="141"/>
      <c r="J2306" s="141">
        <f t="shared" si="71"/>
        <v>0.25</v>
      </c>
      <c r="K2306" s="141">
        <f t="shared" si="72"/>
        <v>74773.080000000016</v>
      </c>
    </row>
    <row r="2307" spans="1:11">
      <c r="A2307" s="141">
        <v>2307</v>
      </c>
      <c r="B2307" s="142">
        <v>44400</v>
      </c>
      <c r="C2307" s="141">
        <v>21.2</v>
      </c>
      <c r="D2307" s="141">
        <v>24405.499999999996</v>
      </c>
      <c r="E2307" s="141"/>
      <c r="F2307" s="141"/>
      <c r="G2307" s="141"/>
      <c r="J2307" s="141">
        <f t="shared" si="71"/>
        <v>0.25</v>
      </c>
      <c r="K2307" s="141">
        <f t="shared" si="72"/>
        <v>74779.080000000016</v>
      </c>
    </row>
    <row r="2308" spans="1:11">
      <c r="A2308" s="141">
        <v>2308</v>
      </c>
      <c r="B2308" s="142">
        <v>44401</v>
      </c>
      <c r="C2308" s="141">
        <v>22.4</v>
      </c>
      <c r="D2308" s="141">
        <v>24427.899999999998</v>
      </c>
      <c r="E2308" s="141"/>
      <c r="F2308" s="141"/>
      <c r="G2308" s="141"/>
      <c r="J2308" s="141">
        <f t="shared" si="71"/>
        <v>0.25</v>
      </c>
      <c r="K2308" s="141">
        <f t="shared" si="72"/>
        <v>74785.080000000016</v>
      </c>
    </row>
    <row r="2309" spans="1:11">
      <c r="A2309" s="141">
        <v>2309</v>
      </c>
      <c r="B2309" s="142">
        <v>44402</v>
      </c>
      <c r="C2309" s="141">
        <v>22.7</v>
      </c>
      <c r="D2309" s="141">
        <v>24450.6</v>
      </c>
      <c r="E2309" s="141"/>
      <c r="F2309" s="141"/>
      <c r="G2309" s="141"/>
      <c r="J2309" s="141">
        <f t="shared" si="71"/>
        <v>0.25</v>
      </c>
      <c r="K2309" s="141">
        <f t="shared" si="72"/>
        <v>74791.080000000016</v>
      </c>
    </row>
    <row r="2310" spans="1:11">
      <c r="A2310" s="141">
        <v>2310</v>
      </c>
      <c r="B2310" s="142">
        <v>44403</v>
      </c>
      <c r="C2310" s="141">
        <v>22.3</v>
      </c>
      <c r="D2310" s="141">
        <v>24472.899999999998</v>
      </c>
      <c r="E2310" s="141"/>
      <c r="F2310" s="141"/>
      <c r="G2310" s="141"/>
      <c r="J2310" s="141">
        <f t="shared" si="71"/>
        <v>0.25</v>
      </c>
      <c r="K2310" s="141">
        <f t="shared" si="72"/>
        <v>74797.080000000016</v>
      </c>
    </row>
    <row r="2311" spans="1:11">
      <c r="A2311" s="141">
        <v>2311</v>
      </c>
      <c r="B2311" s="142">
        <v>44404</v>
      </c>
      <c r="C2311" s="141">
        <v>21.9</v>
      </c>
      <c r="D2311" s="141">
        <v>24494.799999999999</v>
      </c>
      <c r="E2311" s="141"/>
      <c r="F2311" s="141"/>
      <c r="G2311" s="141"/>
      <c r="J2311" s="141">
        <f t="shared" ref="J2311:J2374" si="73">J$1+(IF(J$3-$C2311&gt;0,J$3-$C2311,0)*J$2/30)</f>
        <v>0.25</v>
      </c>
      <c r="K2311" s="141">
        <f t="shared" ref="K2311:K2374" si="74">K2310+J2311*24</f>
        <v>74803.080000000016</v>
      </c>
    </row>
    <row r="2312" spans="1:11">
      <c r="A2312" s="141">
        <v>2312</v>
      </c>
      <c r="B2312" s="142">
        <v>44405</v>
      </c>
      <c r="C2312" s="141">
        <v>20.5</v>
      </c>
      <c r="D2312" s="141">
        <v>24515.3</v>
      </c>
      <c r="E2312" s="141"/>
      <c r="F2312" s="141"/>
      <c r="G2312" s="141"/>
      <c r="J2312" s="141">
        <f t="shared" si="73"/>
        <v>0.25</v>
      </c>
      <c r="K2312" s="141">
        <f t="shared" si="74"/>
        <v>74809.080000000016</v>
      </c>
    </row>
    <row r="2313" spans="1:11">
      <c r="A2313" s="141">
        <v>2313</v>
      </c>
      <c r="B2313" s="142">
        <v>44406</v>
      </c>
      <c r="C2313" s="141">
        <v>20.399999999999999</v>
      </c>
      <c r="D2313" s="141">
        <v>24535.7</v>
      </c>
      <c r="E2313" s="141"/>
      <c r="F2313" s="141"/>
      <c r="G2313" s="141"/>
      <c r="J2313" s="141">
        <f t="shared" si="73"/>
        <v>0.25</v>
      </c>
      <c r="K2313" s="141">
        <f t="shared" si="74"/>
        <v>74815.080000000016</v>
      </c>
    </row>
    <row r="2314" spans="1:11">
      <c r="A2314" s="141">
        <v>2314</v>
      </c>
      <c r="B2314" s="142">
        <v>44407</v>
      </c>
      <c r="C2314" s="141">
        <v>21.1</v>
      </c>
      <c r="D2314" s="141">
        <v>24556.799999999999</v>
      </c>
      <c r="E2314" s="141"/>
      <c r="F2314" s="141"/>
      <c r="G2314" s="141"/>
      <c r="J2314" s="141">
        <f t="shared" si="73"/>
        <v>0.25</v>
      </c>
      <c r="K2314" s="141">
        <f t="shared" si="74"/>
        <v>74821.080000000016</v>
      </c>
    </row>
    <row r="2315" spans="1:11">
      <c r="A2315" s="141">
        <v>2315</v>
      </c>
      <c r="B2315" s="142">
        <v>44408</v>
      </c>
      <c r="C2315" s="141">
        <v>21.6</v>
      </c>
      <c r="D2315" s="141">
        <v>24578.399999999998</v>
      </c>
      <c r="E2315" s="141"/>
      <c r="F2315" s="141"/>
      <c r="G2315" s="141"/>
      <c r="J2315" s="141">
        <f t="shared" si="73"/>
        <v>0.25</v>
      </c>
      <c r="K2315" s="141">
        <f t="shared" si="74"/>
        <v>74827.080000000016</v>
      </c>
    </row>
    <row r="2316" spans="1:11">
      <c r="A2316" s="141">
        <v>2316</v>
      </c>
      <c r="B2316" s="142">
        <v>44409</v>
      </c>
      <c r="C2316" s="141">
        <v>15.8</v>
      </c>
      <c r="D2316" s="141">
        <v>24594.199999999997</v>
      </c>
      <c r="E2316" s="141"/>
      <c r="F2316" s="141"/>
      <c r="G2316" s="141"/>
      <c r="J2316" s="141">
        <f t="shared" si="73"/>
        <v>0.42999999999999988</v>
      </c>
      <c r="K2316" s="141">
        <f t="shared" si="74"/>
        <v>74837.400000000023</v>
      </c>
    </row>
    <row r="2317" spans="1:11">
      <c r="A2317" s="141">
        <v>2317</v>
      </c>
      <c r="B2317" s="142">
        <v>44410</v>
      </c>
      <c r="C2317" s="141">
        <v>16.5</v>
      </c>
      <c r="D2317" s="141">
        <v>24610.699999999997</v>
      </c>
      <c r="E2317" s="141"/>
      <c r="F2317" s="141"/>
      <c r="G2317" s="141"/>
      <c r="J2317" s="141">
        <f t="shared" si="73"/>
        <v>0.32500000000000001</v>
      </c>
      <c r="K2317" s="141">
        <f t="shared" si="74"/>
        <v>74845.200000000026</v>
      </c>
    </row>
    <row r="2318" spans="1:11">
      <c r="A2318" s="141">
        <v>2318</v>
      </c>
      <c r="B2318" s="142">
        <v>44411</v>
      </c>
      <c r="C2318" s="141">
        <v>17.100000000000001</v>
      </c>
      <c r="D2318" s="141">
        <v>24627.799999999996</v>
      </c>
      <c r="E2318" s="141"/>
      <c r="F2318" s="141"/>
      <c r="G2318" s="141"/>
      <c r="J2318" s="141">
        <f t="shared" si="73"/>
        <v>0.25</v>
      </c>
      <c r="K2318" s="141">
        <f t="shared" si="74"/>
        <v>74851.200000000026</v>
      </c>
    </row>
    <row r="2319" spans="1:11">
      <c r="A2319" s="141">
        <v>2319</v>
      </c>
      <c r="B2319" s="142">
        <v>44412</v>
      </c>
      <c r="C2319" s="141">
        <v>17.399999999999999</v>
      </c>
      <c r="D2319" s="141">
        <v>24645.199999999997</v>
      </c>
      <c r="E2319" s="141"/>
      <c r="F2319" s="141"/>
      <c r="G2319" s="141"/>
      <c r="J2319" s="141">
        <f t="shared" si="73"/>
        <v>0.25</v>
      </c>
      <c r="K2319" s="141">
        <f t="shared" si="74"/>
        <v>74857.200000000026</v>
      </c>
    </row>
    <row r="2320" spans="1:11">
      <c r="A2320" s="141">
        <v>2320</v>
      </c>
      <c r="B2320" s="142">
        <v>44413</v>
      </c>
      <c r="C2320" s="141">
        <v>16.399999999999999</v>
      </c>
      <c r="D2320" s="141">
        <v>24661.599999999999</v>
      </c>
      <c r="E2320" s="141"/>
      <c r="F2320" s="141"/>
      <c r="G2320" s="141"/>
      <c r="J2320" s="141">
        <f t="shared" si="73"/>
        <v>0.34000000000000019</v>
      </c>
      <c r="K2320" s="141">
        <f t="shared" si="74"/>
        <v>74865.36000000003</v>
      </c>
    </row>
    <row r="2321" spans="1:11">
      <c r="A2321" s="141">
        <v>2321</v>
      </c>
      <c r="B2321" s="142">
        <v>44414</v>
      </c>
      <c r="C2321" s="141">
        <v>16.7</v>
      </c>
      <c r="D2321" s="141">
        <v>24678.3</v>
      </c>
      <c r="E2321" s="141"/>
      <c r="F2321" s="141"/>
      <c r="G2321" s="141"/>
      <c r="J2321" s="141">
        <f t="shared" si="73"/>
        <v>0.2950000000000001</v>
      </c>
      <c r="K2321" s="141">
        <f t="shared" si="74"/>
        <v>74872.440000000031</v>
      </c>
    </row>
    <row r="2322" spans="1:11">
      <c r="A2322" s="141">
        <v>2322</v>
      </c>
      <c r="B2322" s="142">
        <v>44415</v>
      </c>
      <c r="C2322" s="141">
        <v>19.3</v>
      </c>
      <c r="D2322" s="141">
        <v>24697.599999999999</v>
      </c>
      <c r="E2322" s="141"/>
      <c r="F2322" s="141"/>
      <c r="G2322" s="141"/>
      <c r="J2322" s="141">
        <f t="shared" si="73"/>
        <v>0.25</v>
      </c>
      <c r="K2322" s="141">
        <f t="shared" si="74"/>
        <v>74878.440000000031</v>
      </c>
    </row>
    <row r="2323" spans="1:11">
      <c r="A2323" s="141">
        <v>2323</v>
      </c>
      <c r="B2323" s="142">
        <v>44416</v>
      </c>
      <c r="C2323" s="141">
        <v>18.3</v>
      </c>
      <c r="D2323" s="141">
        <v>24715.899999999998</v>
      </c>
      <c r="E2323" s="141"/>
      <c r="F2323" s="141"/>
      <c r="G2323" s="141"/>
      <c r="J2323" s="141">
        <f t="shared" si="73"/>
        <v>0.25</v>
      </c>
      <c r="K2323" s="141">
        <f t="shared" si="74"/>
        <v>74884.440000000031</v>
      </c>
    </row>
    <row r="2324" spans="1:11">
      <c r="A2324" s="141">
        <v>2324</v>
      </c>
      <c r="B2324" s="142">
        <v>44417</v>
      </c>
      <c r="C2324" s="141">
        <v>18.2</v>
      </c>
      <c r="D2324" s="141">
        <v>24734.1</v>
      </c>
      <c r="E2324" s="141"/>
      <c r="F2324" s="141"/>
      <c r="G2324" s="141"/>
      <c r="J2324" s="141">
        <f t="shared" si="73"/>
        <v>0.25</v>
      </c>
      <c r="K2324" s="141">
        <f t="shared" si="74"/>
        <v>74890.440000000031</v>
      </c>
    </row>
    <row r="2325" spans="1:11">
      <c r="A2325" s="141">
        <v>2325</v>
      </c>
      <c r="B2325" s="142">
        <v>44418</v>
      </c>
      <c r="C2325" s="141">
        <v>20</v>
      </c>
      <c r="D2325" s="141">
        <v>24754.1</v>
      </c>
      <c r="E2325" s="141"/>
      <c r="F2325" s="141"/>
      <c r="G2325" s="141"/>
      <c r="J2325" s="141">
        <f t="shared" si="73"/>
        <v>0.25</v>
      </c>
      <c r="K2325" s="141">
        <f t="shared" si="74"/>
        <v>74896.440000000031</v>
      </c>
    </row>
    <row r="2326" spans="1:11">
      <c r="A2326" s="141">
        <v>2326</v>
      </c>
      <c r="B2326" s="142">
        <v>44419</v>
      </c>
      <c r="C2326" s="141">
        <v>19.5</v>
      </c>
      <c r="D2326" s="141">
        <v>24773.599999999999</v>
      </c>
      <c r="E2326" s="141"/>
      <c r="F2326" s="141"/>
      <c r="G2326" s="141"/>
      <c r="J2326" s="141">
        <f t="shared" si="73"/>
        <v>0.25</v>
      </c>
      <c r="K2326" s="141">
        <f t="shared" si="74"/>
        <v>74902.440000000031</v>
      </c>
    </row>
    <row r="2327" spans="1:11">
      <c r="A2327" s="141">
        <v>2327</v>
      </c>
      <c r="B2327" s="142">
        <v>44420</v>
      </c>
      <c r="C2327" s="141">
        <v>19.8</v>
      </c>
      <c r="D2327" s="141">
        <v>24793.399999999998</v>
      </c>
      <c r="E2327" s="141"/>
      <c r="F2327" s="141"/>
      <c r="G2327" s="141"/>
      <c r="J2327" s="141">
        <f t="shared" si="73"/>
        <v>0.25</v>
      </c>
      <c r="K2327" s="141">
        <f t="shared" si="74"/>
        <v>74908.440000000031</v>
      </c>
    </row>
    <row r="2328" spans="1:11">
      <c r="A2328" s="141">
        <v>2328</v>
      </c>
      <c r="B2328" s="142">
        <v>44421</v>
      </c>
      <c r="C2328" s="141">
        <v>21.9</v>
      </c>
      <c r="D2328" s="141">
        <v>24815.3</v>
      </c>
      <c r="E2328" s="141"/>
      <c r="F2328" s="141"/>
      <c r="G2328" s="141"/>
      <c r="J2328" s="141">
        <f t="shared" si="73"/>
        <v>0.25</v>
      </c>
      <c r="K2328" s="141">
        <f t="shared" si="74"/>
        <v>74914.440000000031</v>
      </c>
    </row>
    <row r="2329" spans="1:11">
      <c r="A2329" s="141">
        <v>2329</v>
      </c>
      <c r="B2329" s="142">
        <v>44422</v>
      </c>
      <c r="C2329" s="141">
        <v>23.6</v>
      </c>
      <c r="D2329" s="141">
        <v>24838.899999999998</v>
      </c>
      <c r="E2329" s="141"/>
      <c r="F2329" s="141"/>
      <c r="G2329" s="141"/>
      <c r="J2329" s="141">
        <f t="shared" si="73"/>
        <v>0.25</v>
      </c>
      <c r="K2329" s="141">
        <f t="shared" si="74"/>
        <v>74920.440000000031</v>
      </c>
    </row>
    <row r="2330" spans="1:11">
      <c r="A2330" s="141">
        <v>2330</v>
      </c>
      <c r="B2330" s="142">
        <v>44423</v>
      </c>
      <c r="C2330" s="141">
        <v>23.2</v>
      </c>
      <c r="D2330" s="141">
        <v>24862.1</v>
      </c>
      <c r="E2330" s="141"/>
      <c r="F2330" s="141"/>
      <c r="G2330" s="141"/>
      <c r="J2330" s="141">
        <f t="shared" si="73"/>
        <v>0.25</v>
      </c>
      <c r="K2330" s="141">
        <f t="shared" si="74"/>
        <v>74926.440000000031</v>
      </c>
    </row>
    <row r="2331" spans="1:11">
      <c r="A2331" s="141">
        <v>2331</v>
      </c>
      <c r="B2331" s="142">
        <v>44424</v>
      </c>
      <c r="C2331" s="141">
        <v>22.2</v>
      </c>
      <c r="D2331" s="141">
        <v>24884.3</v>
      </c>
      <c r="E2331" s="141"/>
      <c r="F2331" s="141"/>
      <c r="G2331" s="141"/>
      <c r="J2331" s="141">
        <f t="shared" si="73"/>
        <v>0.25</v>
      </c>
      <c r="K2331" s="141">
        <f t="shared" si="74"/>
        <v>74932.440000000031</v>
      </c>
    </row>
    <row r="2332" spans="1:11">
      <c r="A2332" s="141">
        <v>2332</v>
      </c>
      <c r="B2332" s="142">
        <v>44425</v>
      </c>
      <c r="C2332" s="141">
        <v>14.9</v>
      </c>
      <c r="D2332" s="141">
        <v>24899.200000000001</v>
      </c>
      <c r="E2332" s="141"/>
      <c r="F2332" s="141"/>
      <c r="G2332" s="141"/>
      <c r="J2332" s="141">
        <f t="shared" si="73"/>
        <v>0.56499999999999995</v>
      </c>
      <c r="K2332" s="141">
        <f t="shared" si="74"/>
        <v>74946.000000000029</v>
      </c>
    </row>
    <row r="2333" spans="1:11">
      <c r="A2333" s="141">
        <v>2333</v>
      </c>
      <c r="B2333" s="142">
        <v>44426</v>
      </c>
      <c r="C2333" s="141">
        <v>16</v>
      </c>
      <c r="D2333" s="141">
        <v>24915.200000000001</v>
      </c>
      <c r="E2333" s="141"/>
      <c r="F2333" s="141"/>
      <c r="G2333" s="141"/>
      <c r="J2333" s="141">
        <f t="shared" si="73"/>
        <v>0.4</v>
      </c>
      <c r="K2333" s="141">
        <f t="shared" si="74"/>
        <v>74955.600000000035</v>
      </c>
    </row>
    <row r="2334" spans="1:11">
      <c r="A2334" s="141">
        <v>2334</v>
      </c>
      <c r="B2334" s="142">
        <v>44427</v>
      </c>
      <c r="C2334" s="141">
        <v>18.3</v>
      </c>
      <c r="D2334" s="141">
        <v>24933.5</v>
      </c>
      <c r="E2334" s="141"/>
      <c r="F2334" s="141"/>
      <c r="G2334" s="141"/>
      <c r="J2334" s="141">
        <f t="shared" si="73"/>
        <v>0.25</v>
      </c>
      <c r="K2334" s="141">
        <f t="shared" si="74"/>
        <v>74961.600000000035</v>
      </c>
    </row>
    <row r="2335" spans="1:11">
      <c r="A2335" s="141">
        <v>2335</v>
      </c>
      <c r="B2335" s="142">
        <v>44428</v>
      </c>
      <c r="C2335" s="141">
        <v>17.8</v>
      </c>
      <c r="D2335" s="141">
        <v>24951.3</v>
      </c>
      <c r="E2335" s="141"/>
      <c r="F2335" s="141"/>
      <c r="G2335" s="141"/>
      <c r="J2335" s="141">
        <f t="shared" si="73"/>
        <v>0.25</v>
      </c>
      <c r="K2335" s="141">
        <f t="shared" si="74"/>
        <v>74967.600000000035</v>
      </c>
    </row>
    <row r="2336" spans="1:11">
      <c r="A2336" s="141">
        <v>2336</v>
      </c>
      <c r="B2336" s="142">
        <v>44429</v>
      </c>
      <c r="C2336" s="141">
        <v>18</v>
      </c>
      <c r="D2336" s="141">
        <v>24969.3</v>
      </c>
      <c r="E2336" s="141"/>
      <c r="F2336" s="141"/>
      <c r="G2336" s="141"/>
      <c r="J2336" s="141">
        <f t="shared" si="73"/>
        <v>0.25</v>
      </c>
      <c r="K2336" s="141">
        <f t="shared" si="74"/>
        <v>74973.600000000035</v>
      </c>
    </row>
    <row r="2337" spans="1:11">
      <c r="A2337" s="141">
        <v>2337</v>
      </c>
      <c r="B2337" s="142">
        <v>44430</v>
      </c>
      <c r="C2337" s="141">
        <v>17.600000000000001</v>
      </c>
      <c r="D2337" s="141">
        <v>24986.899999999998</v>
      </c>
      <c r="E2337" s="141"/>
      <c r="F2337" s="141"/>
      <c r="G2337" s="141"/>
      <c r="J2337" s="141">
        <f t="shared" si="73"/>
        <v>0.25</v>
      </c>
      <c r="K2337" s="141">
        <f t="shared" si="74"/>
        <v>74979.600000000035</v>
      </c>
    </row>
    <row r="2338" spans="1:11">
      <c r="A2338" s="141">
        <v>2338</v>
      </c>
      <c r="B2338" s="142">
        <v>44431</v>
      </c>
      <c r="C2338" s="141">
        <v>16.5</v>
      </c>
      <c r="D2338" s="141">
        <v>25003.399999999998</v>
      </c>
      <c r="E2338" s="141"/>
      <c r="F2338" s="141"/>
      <c r="G2338" s="141"/>
      <c r="J2338" s="141">
        <f t="shared" si="73"/>
        <v>0.32500000000000001</v>
      </c>
      <c r="K2338" s="141">
        <f t="shared" si="74"/>
        <v>74987.400000000038</v>
      </c>
    </row>
    <row r="2339" spans="1:11">
      <c r="A2339" s="141">
        <v>2339</v>
      </c>
      <c r="B2339" s="142">
        <v>44432</v>
      </c>
      <c r="C2339" s="141">
        <v>14.6</v>
      </c>
      <c r="D2339" s="141">
        <v>25017.999999999996</v>
      </c>
      <c r="E2339" s="141"/>
      <c r="F2339" s="141"/>
      <c r="G2339" s="141"/>
      <c r="J2339" s="141">
        <f t="shared" si="73"/>
        <v>0.6100000000000001</v>
      </c>
      <c r="K2339" s="141">
        <f t="shared" si="74"/>
        <v>75002.040000000037</v>
      </c>
    </row>
    <row r="2340" spans="1:11">
      <c r="A2340" s="141">
        <v>2340</v>
      </c>
      <c r="B2340" s="142">
        <v>44433</v>
      </c>
      <c r="C2340" s="141">
        <v>15.3</v>
      </c>
      <c r="D2340" s="141">
        <v>25033.299999999996</v>
      </c>
      <c r="E2340" s="141"/>
      <c r="F2340" s="141"/>
      <c r="G2340" s="141"/>
      <c r="J2340" s="141">
        <f t="shared" si="73"/>
        <v>0.50499999999999989</v>
      </c>
      <c r="K2340" s="141">
        <f t="shared" si="74"/>
        <v>75014.160000000033</v>
      </c>
    </row>
    <row r="2341" spans="1:11">
      <c r="A2341" s="141">
        <v>2341</v>
      </c>
      <c r="B2341" s="142">
        <v>44434</v>
      </c>
      <c r="C2341" s="141">
        <v>14.9</v>
      </c>
      <c r="D2341" s="141">
        <v>25048.199999999997</v>
      </c>
      <c r="E2341" s="141"/>
      <c r="F2341" s="141"/>
      <c r="G2341" s="141"/>
      <c r="J2341" s="141">
        <f t="shared" si="73"/>
        <v>0.56499999999999995</v>
      </c>
      <c r="K2341" s="141">
        <f t="shared" si="74"/>
        <v>75027.72000000003</v>
      </c>
    </row>
    <row r="2342" spans="1:11">
      <c r="A2342" s="141">
        <v>2342</v>
      </c>
      <c r="B2342" s="142">
        <v>44435</v>
      </c>
      <c r="C2342" s="141">
        <v>12.899999999999999</v>
      </c>
      <c r="D2342" s="141">
        <v>25061.1</v>
      </c>
      <c r="E2342" s="141"/>
      <c r="F2342" s="141"/>
      <c r="G2342" s="141"/>
      <c r="J2342" s="141">
        <f t="shared" si="73"/>
        <v>0.86500000000000021</v>
      </c>
      <c r="K2342" s="141">
        <f t="shared" si="74"/>
        <v>75048.480000000025</v>
      </c>
    </row>
    <row r="2343" spans="1:11">
      <c r="A2343" s="141">
        <v>2343</v>
      </c>
      <c r="B2343" s="142">
        <v>44436</v>
      </c>
      <c r="C2343" s="141">
        <v>13.399999999999999</v>
      </c>
      <c r="D2343" s="141">
        <v>25074.5</v>
      </c>
      <c r="E2343" s="141"/>
      <c r="F2343" s="141"/>
      <c r="G2343" s="141"/>
      <c r="J2343" s="141">
        <f t="shared" si="73"/>
        <v>0.79000000000000026</v>
      </c>
      <c r="K2343" s="141">
        <f t="shared" si="74"/>
        <v>75067.440000000031</v>
      </c>
    </row>
    <row r="2344" spans="1:11">
      <c r="A2344" s="141">
        <v>2344</v>
      </c>
      <c r="B2344" s="142">
        <v>44437</v>
      </c>
      <c r="C2344" s="141">
        <v>14.4</v>
      </c>
      <c r="D2344" s="141">
        <v>25088.9</v>
      </c>
      <c r="E2344" s="141"/>
      <c r="F2344" s="141"/>
      <c r="G2344" s="141"/>
      <c r="J2344" s="141">
        <f t="shared" si="73"/>
        <v>0.6399999999999999</v>
      </c>
      <c r="K2344" s="141">
        <f t="shared" si="74"/>
        <v>75082.800000000032</v>
      </c>
    </row>
    <row r="2345" spans="1:11">
      <c r="A2345" s="141">
        <v>2345</v>
      </c>
      <c r="B2345" s="142">
        <v>44438</v>
      </c>
      <c r="C2345" s="141">
        <v>14</v>
      </c>
      <c r="D2345" s="141">
        <v>25102.9</v>
      </c>
      <c r="E2345" s="141"/>
      <c r="F2345" s="141"/>
      <c r="G2345" s="141"/>
      <c r="J2345" s="141">
        <f t="shared" si="73"/>
        <v>0.7</v>
      </c>
      <c r="K2345" s="141">
        <f t="shared" si="74"/>
        <v>75099.600000000035</v>
      </c>
    </row>
    <row r="2346" spans="1:11">
      <c r="A2346" s="141">
        <v>2346</v>
      </c>
      <c r="B2346" s="142">
        <v>44439</v>
      </c>
      <c r="C2346" s="141">
        <v>14.4</v>
      </c>
      <c r="D2346" s="141">
        <v>25117.300000000003</v>
      </c>
      <c r="E2346" s="141"/>
      <c r="F2346" s="141"/>
      <c r="G2346" s="141"/>
      <c r="J2346" s="141">
        <f t="shared" si="73"/>
        <v>0.6399999999999999</v>
      </c>
      <c r="K2346" s="141">
        <f t="shared" si="74"/>
        <v>75114.960000000036</v>
      </c>
    </row>
    <row r="2347" spans="1:11">
      <c r="A2347" s="141">
        <v>2347</v>
      </c>
      <c r="B2347" s="142">
        <v>44440</v>
      </c>
      <c r="C2347" s="141">
        <v>15.6</v>
      </c>
      <c r="D2347" s="141">
        <v>25132.9</v>
      </c>
      <c r="E2347" s="141"/>
      <c r="F2347" s="141"/>
      <c r="G2347" s="141"/>
      <c r="J2347" s="141">
        <f t="shared" si="73"/>
        <v>0.46000000000000008</v>
      </c>
      <c r="K2347" s="141">
        <f t="shared" si="74"/>
        <v>75126.000000000029</v>
      </c>
    </row>
    <row r="2348" spans="1:11">
      <c r="A2348" s="141">
        <v>2348</v>
      </c>
      <c r="B2348" s="142">
        <v>44441</v>
      </c>
      <c r="C2348" s="141">
        <v>16.399999999999999</v>
      </c>
      <c r="D2348" s="141">
        <v>25149.300000000003</v>
      </c>
      <c r="E2348" s="141"/>
      <c r="F2348" s="141"/>
      <c r="G2348" s="141"/>
      <c r="J2348" s="141">
        <f t="shared" si="73"/>
        <v>0.34000000000000019</v>
      </c>
      <c r="K2348" s="141">
        <f t="shared" si="74"/>
        <v>75134.160000000033</v>
      </c>
    </row>
    <row r="2349" spans="1:11">
      <c r="A2349" s="141">
        <v>2349</v>
      </c>
      <c r="B2349" s="142">
        <v>44442</v>
      </c>
      <c r="C2349" s="141">
        <v>16.899999999999999</v>
      </c>
      <c r="D2349" s="141">
        <v>25166.200000000004</v>
      </c>
      <c r="E2349" s="141"/>
      <c r="F2349" s="141"/>
      <c r="G2349" s="141"/>
      <c r="J2349" s="141">
        <f t="shared" si="73"/>
        <v>0.26500000000000024</v>
      </c>
      <c r="K2349" s="141">
        <f t="shared" si="74"/>
        <v>75140.520000000033</v>
      </c>
    </row>
    <row r="2350" spans="1:11">
      <c r="A2350" s="141">
        <v>2350</v>
      </c>
      <c r="B2350" s="142">
        <v>44443</v>
      </c>
      <c r="C2350" s="141">
        <v>17.100000000000001</v>
      </c>
      <c r="D2350" s="141">
        <v>25183.300000000003</v>
      </c>
      <c r="E2350" s="141"/>
      <c r="F2350" s="141"/>
      <c r="G2350" s="141"/>
      <c r="J2350" s="141">
        <f t="shared" si="73"/>
        <v>0.25</v>
      </c>
      <c r="K2350" s="141">
        <f t="shared" si="74"/>
        <v>75146.520000000033</v>
      </c>
    </row>
    <row r="2351" spans="1:11">
      <c r="A2351" s="141">
        <v>2351</v>
      </c>
      <c r="B2351" s="142">
        <v>44444</v>
      </c>
      <c r="C2351" s="141">
        <v>17</v>
      </c>
      <c r="D2351" s="141">
        <v>25200.300000000003</v>
      </c>
      <c r="E2351" s="141"/>
      <c r="F2351" s="141"/>
      <c r="G2351" s="141"/>
      <c r="J2351" s="141">
        <f t="shared" si="73"/>
        <v>0.25</v>
      </c>
      <c r="K2351" s="141">
        <f t="shared" si="74"/>
        <v>75152.520000000033</v>
      </c>
    </row>
    <row r="2352" spans="1:11">
      <c r="A2352" s="141">
        <v>2352</v>
      </c>
      <c r="B2352" s="142">
        <v>44445</v>
      </c>
      <c r="C2352" s="141">
        <v>17</v>
      </c>
      <c r="D2352" s="141">
        <v>25217.300000000003</v>
      </c>
      <c r="E2352" s="141"/>
      <c r="F2352" s="141"/>
      <c r="G2352" s="141"/>
      <c r="J2352" s="141">
        <f t="shared" si="73"/>
        <v>0.25</v>
      </c>
      <c r="K2352" s="141">
        <f t="shared" si="74"/>
        <v>75158.520000000033</v>
      </c>
    </row>
    <row r="2353" spans="1:11">
      <c r="A2353" s="141">
        <v>2353</v>
      </c>
      <c r="B2353" s="142">
        <v>44446</v>
      </c>
      <c r="C2353" s="141">
        <v>17.600000000000001</v>
      </c>
      <c r="D2353" s="141">
        <v>25234.9</v>
      </c>
      <c r="E2353" s="141"/>
      <c r="F2353" s="141"/>
      <c r="G2353" s="141"/>
      <c r="J2353" s="141">
        <f t="shared" si="73"/>
        <v>0.25</v>
      </c>
      <c r="K2353" s="141">
        <f t="shared" si="74"/>
        <v>75164.520000000033</v>
      </c>
    </row>
    <row r="2354" spans="1:11">
      <c r="A2354" s="141">
        <v>2354</v>
      </c>
      <c r="B2354" s="142">
        <v>44447</v>
      </c>
      <c r="C2354" s="141">
        <v>17.399999999999999</v>
      </c>
      <c r="D2354" s="141">
        <v>25252.300000000003</v>
      </c>
      <c r="E2354" s="141"/>
      <c r="F2354" s="141"/>
      <c r="G2354" s="141"/>
      <c r="J2354" s="141">
        <f t="shared" si="73"/>
        <v>0.25</v>
      </c>
      <c r="K2354" s="141">
        <f t="shared" si="74"/>
        <v>75170.520000000033</v>
      </c>
    </row>
    <row r="2355" spans="1:11">
      <c r="A2355" s="141">
        <v>2355</v>
      </c>
      <c r="B2355" s="142">
        <v>44448</v>
      </c>
      <c r="C2355" s="141">
        <v>17.899999999999999</v>
      </c>
      <c r="D2355" s="141">
        <v>25270.200000000004</v>
      </c>
      <c r="E2355" s="141"/>
      <c r="F2355" s="141"/>
      <c r="G2355" s="141"/>
      <c r="J2355" s="141">
        <f t="shared" si="73"/>
        <v>0.25</v>
      </c>
      <c r="K2355" s="141">
        <f t="shared" si="74"/>
        <v>75176.520000000033</v>
      </c>
    </row>
    <row r="2356" spans="1:11">
      <c r="A2356" s="141">
        <v>2356</v>
      </c>
      <c r="B2356" s="142">
        <v>44449</v>
      </c>
      <c r="C2356" s="141">
        <v>19.2</v>
      </c>
      <c r="D2356" s="141">
        <v>25289.400000000005</v>
      </c>
      <c r="E2356" s="141"/>
      <c r="F2356" s="141"/>
      <c r="G2356" s="141"/>
      <c r="J2356" s="141">
        <f t="shared" si="73"/>
        <v>0.25</v>
      </c>
      <c r="K2356" s="141">
        <f t="shared" si="74"/>
        <v>75182.520000000033</v>
      </c>
    </row>
    <row r="2357" spans="1:11">
      <c r="A2357" s="141">
        <v>2357</v>
      </c>
      <c r="B2357" s="142">
        <v>44450</v>
      </c>
      <c r="C2357" s="141">
        <v>17.899999999999999</v>
      </c>
      <c r="D2357" s="141">
        <v>25307.300000000007</v>
      </c>
      <c r="E2357" s="141"/>
      <c r="F2357" s="141"/>
      <c r="G2357" s="141"/>
      <c r="J2357" s="141">
        <f t="shared" si="73"/>
        <v>0.25</v>
      </c>
      <c r="K2357" s="141">
        <f t="shared" si="74"/>
        <v>75188.520000000033</v>
      </c>
    </row>
    <row r="2358" spans="1:11">
      <c r="A2358" s="141">
        <v>2358</v>
      </c>
      <c r="B2358" s="142">
        <v>44451</v>
      </c>
      <c r="C2358" s="141">
        <v>18.7</v>
      </c>
      <c r="D2358" s="141">
        <v>25326.000000000007</v>
      </c>
      <c r="E2358" s="141"/>
      <c r="F2358" s="141"/>
      <c r="G2358" s="141"/>
      <c r="J2358" s="141">
        <f t="shared" si="73"/>
        <v>0.25</v>
      </c>
      <c r="K2358" s="141">
        <f t="shared" si="74"/>
        <v>75194.520000000033</v>
      </c>
    </row>
    <row r="2359" spans="1:11">
      <c r="A2359" s="141">
        <v>2359</v>
      </c>
      <c r="B2359" s="142">
        <v>44452</v>
      </c>
      <c r="C2359" s="141">
        <v>17.7</v>
      </c>
      <c r="D2359" s="141">
        <v>25343.700000000008</v>
      </c>
      <c r="E2359" s="141"/>
      <c r="F2359" s="141"/>
      <c r="G2359" s="141"/>
      <c r="J2359" s="141">
        <f t="shared" si="73"/>
        <v>0.25</v>
      </c>
      <c r="K2359" s="141">
        <f t="shared" si="74"/>
        <v>75200.520000000033</v>
      </c>
    </row>
    <row r="2360" spans="1:11">
      <c r="A2360" s="141">
        <v>2360</v>
      </c>
      <c r="B2360" s="142">
        <v>44453</v>
      </c>
      <c r="C2360" s="141">
        <v>18.100000000000001</v>
      </c>
      <c r="D2360" s="141">
        <v>25361.800000000007</v>
      </c>
      <c r="E2360" s="141"/>
      <c r="F2360" s="141"/>
      <c r="G2360" s="141"/>
      <c r="J2360" s="141">
        <f t="shared" si="73"/>
        <v>0.25</v>
      </c>
      <c r="K2360" s="141">
        <f t="shared" si="74"/>
        <v>75206.520000000033</v>
      </c>
    </row>
    <row r="2361" spans="1:11">
      <c r="A2361" s="141">
        <v>2361</v>
      </c>
      <c r="B2361" s="142">
        <v>44454</v>
      </c>
      <c r="C2361" s="141">
        <v>18.3</v>
      </c>
      <c r="D2361" s="141">
        <v>25380.100000000006</v>
      </c>
      <c r="E2361" s="141"/>
      <c r="F2361" s="141"/>
      <c r="G2361" s="141"/>
      <c r="J2361" s="141">
        <f t="shared" si="73"/>
        <v>0.25</v>
      </c>
      <c r="K2361" s="141">
        <f t="shared" si="74"/>
        <v>75212.520000000033</v>
      </c>
    </row>
    <row r="2362" spans="1:11">
      <c r="A2362" s="141">
        <v>2362</v>
      </c>
      <c r="B2362" s="142">
        <v>44455</v>
      </c>
      <c r="C2362" s="141">
        <v>18.2</v>
      </c>
      <c r="D2362" s="141">
        <v>25398.300000000007</v>
      </c>
      <c r="E2362" s="141"/>
      <c r="F2362" s="141"/>
      <c r="G2362" s="141"/>
      <c r="J2362" s="141">
        <f t="shared" si="73"/>
        <v>0.25</v>
      </c>
      <c r="K2362" s="141">
        <f t="shared" si="74"/>
        <v>75218.520000000033</v>
      </c>
    </row>
    <row r="2363" spans="1:11">
      <c r="A2363" s="141">
        <v>2363</v>
      </c>
      <c r="B2363" s="142">
        <v>44456</v>
      </c>
      <c r="C2363" s="141">
        <v>14.5</v>
      </c>
      <c r="D2363" s="141">
        <v>25412.800000000007</v>
      </c>
      <c r="E2363" s="141"/>
      <c r="F2363" s="141"/>
      <c r="G2363" s="141"/>
      <c r="J2363" s="141">
        <f t="shared" si="73"/>
        <v>0.625</v>
      </c>
      <c r="K2363" s="141">
        <f t="shared" si="74"/>
        <v>75233.520000000033</v>
      </c>
    </row>
    <row r="2364" spans="1:11">
      <c r="A2364" s="141">
        <v>2364</v>
      </c>
      <c r="B2364" s="142">
        <v>44457</v>
      </c>
      <c r="C2364" s="141">
        <v>14.2</v>
      </c>
      <c r="D2364" s="141">
        <v>25427.000000000007</v>
      </c>
      <c r="E2364" s="141"/>
      <c r="F2364" s="141"/>
      <c r="G2364" s="141"/>
      <c r="J2364" s="141">
        <f t="shared" si="73"/>
        <v>0.67000000000000015</v>
      </c>
      <c r="K2364" s="141">
        <f t="shared" si="74"/>
        <v>75249.600000000035</v>
      </c>
    </row>
    <row r="2365" spans="1:11">
      <c r="A2365" s="141">
        <v>2365</v>
      </c>
      <c r="B2365" s="142">
        <v>44458</v>
      </c>
      <c r="C2365" s="141">
        <v>11.7</v>
      </c>
      <c r="D2365" s="141">
        <v>25438.700000000008</v>
      </c>
      <c r="E2365" s="141"/>
      <c r="F2365" s="141"/>
      <c r="G2365" s="141"/>
      <c r="J2365" s="141">
        <f t="shared" si="73"/>
        <v>1.0449999999999999</v>
      </c>
      <c r="K2365" s="141">
        <f t="shared" si="74"/>
        <v>75274.680000000037</v>
      </c>
    </row>
    <row r="2366" spans="1:11">
      <c r="A2366" s="141">
        <v>2366</v>
      </c>
      <c r="B2366" s="142">
        <v>44459</v>
      </c>
      <c r="C2366" s="141">
        <v>11.3</v>
      </c>
      <c r="D2366" s="141">
        <v>25450.000000000007</v>
      </c>
      <c r="E2366" s="141"/>
      <c r="F2366" s="141"/>
      <c r="G2366" s="141"/>
      <c r="J2366" s="141">
        <f t="shared" si="73"/>
        <v>1.105</v>
      </c>
      <c r="K2366" s="141">
        <f t="shared" si="74"/>
        <v>75301.200000000041</v>
      </c>
    </row>
    <row r="2367" spans="1:11">
      <c r="A2367" s="141">
        <v>2367</v>
      </c>
      <c r="B2367" s="142">
        <v>44460</v>
      </c>
      <c r="C2367" s="141">
        <v>11.8</v>
      </c>
      <c r="D2367" s="141">
        <v>25461.800000000007</v>
      </c>
      <c r="E2367" s="141"/>
      <c r="F2367" s="141"/>
      <c r="G2367" s="141"/>
      <c r="J2367" s="141">
        <f t="shared" si="73"/>
        <v>1.0299999999999998</v>
      </c>
      <c r="K2367" s="141">
        <f t="shared" si="74"/>
        <v>75325.920000000042</v>
      </c>
    </row>
    <row r="2368" spans="1:11">
      <c r="A2368" s="141">
        <v>2368</v>
      </c>
      <c r="B2368" s="142">
        <v>44461</v>
      </c>
      <c r="C2368" s="141">
        <v>13.100000000000001</v>
      </c>
      <c r="D2368" s="141">
        <v>25474.900000000005</v>
      </c>
      <c r="E2368" s="141"/>
      <c r="F2368" s="141"/>
      <c r="G2368" s="141"/>
      <c r="J2368" s="141">
        <f t="shared" si="73"/>
        <v>0.83499999999999974</v>
      </c>
      <c r="K2368" s="141">
        <f t="shared" si="74"/>
        <v>75345.960000000036</v>
      </c>
    </row>
    <row r="2369" spans="1:11">
      <c r="A2369" s="141">
        <v>2369</v>
      </c>
      <c r="B2369" s="142">
        <v>44462</v>
      </c>
      <c r="C2369" s="141">
        <v>15.3</v>
      </c>
      <c r="D2369" s="141">
        <v>25490.200000000004</v>
      </c>
      <c r="E2369" s="141"/>
      <c r="F2369" s="141"/>
      <c r="G2369" s="141"/>
      <c r="J2369" s="141">
        <f t="shared" si="73"/>
        <v>0.50499999999999989</v>
      </c>
      <c r="K2369" s="141">
        <f t="shared" si="74"/>
        <v>75358.080000000031</v>
      </c>
    </row>
    <row r="2370" spans="1:11">
      <c r="A2370" s="141">
        <v>2370</v>
      </c>
      <c r="B2370" s="142">
        <v>44463</v>
      </c>
      <c r="C2370" s="141">
        <v>15.9</v>
      </c>
      <c r="D2370" s="141">
        <v>25506.100000000006</v>
      </c>
      <c r="E2370" s="141"/>
      <c r="F2370" s="141"/>
      <c r="G2370" s="141"/>
      <c r="J2370" s="141">
        <f t="shared" si="73"/>
        <v>0.41499999999999992</v>
      </c>
      <c r="K2370" s="141">
        <f t="shared" si="74"/>
        <v>75368.040000000037</v>
      </c>
    </row>
    <row r="2371" spans="1:11">
      <c r="A2371" s="141">
        <v>2371</v>
      </c>
      <c r="B2371" s="142">
        <v>44464</v>
      </c>
      <c r="C2371" s="141">
        <v>16.7</v>
      </c>
      <c r="D2371" s="141">
        <v>25522.800000000007</v>
      </c>
      <c r="E2371" s="141"/>
      <c r="F2371" s="141"/>
      <c r="G2371" s="141"/>
      <c r="J2371" s="141">
        <f t="shared" si="73"/>
        <v>0.2950000000000001</v>
      </c>
      <c r="K2371" s="141">
        <f t="shared" si="74"/>
        <v>75375.120000000039</v>
      </c>
    </row>
    <row r="2372" spans="1:11">
      <c r="A2372" s="141">
        <v>2372</v>
      </c>
      <c r="B2372" s="142">
        <v>44465</v>
      </c>
      <c r="C2372" s="141">
        <v>16.399999999999999</v>
      </c>
      <c r="D2372" s="141">
        <v>25539.200000000008</v>
      </c>
      <c r="E2372" s="141"/>
      <c r="F2372" s="141"/>
      <c r="G2372" s="141"/>
      <c r="J2372" s="141">
        <f t="shared" si="73"/>
        <v>0.34000000000000019</v>
      </c>
      <c r="K2372" s="141">
        <f t="shared" si="74"/>
        <v>75383.280000000042</v>
      </c>
    </row>
    <row r="2373" spans="1:11">
      <c r="A2373" s="141">
        <v>2373</v>
      </c>
      <c r="B2373" s="142">
        <v>44466</v>
      </c>
      <c r="C2373" s="141">
        <v>16.7</v>
      </c>
      <c r="D2373" s="141">
        <v>25555.900000000009</v>
      </c>
      <c r="E2373" s="141"/>
      <c r="F2373" s="141"/>
      <c r="G2373" s="141"/>
      <c r="J2373" s="141">
        <f t="shared" si="73"/>
        <v>0.2950000000000001</v>
      </c>
      <c r="K2373" s="141">
        <f t="shared" si="74"/>
        <v>75390.360000000044</v>
      </c>
    </row>
    <row r="2374" spans="1:11">
      <c r="A2374" s="141">
        <v>2374</v>
      </c>
      <c r="B2374" s="142">
        <v>44467</v>
      </c>
      <c r="C2374" s="141">
        <v>16</v>
      </c>
      <c r="D2374" s="141">
        <v>25571.900000000009</v>
      </c>
      <c r="E2374" s="141"/>
      <c r="F2374" s="141"/>
      <c r="G2374" s="141"/>
      <c r="J2374" s="141">
        <f t="shared" si="73"/>
        <v>0.4</v>
      </c>
      <c r="K2374" s="141">
        <f t="shared" si="74"/>
        <v>75399.96000000005</v>
      </c>
    </row>
    <row r="2375" spans="1:11">
      <c r="A2375" s="141">
        <v>2375</v>
      </c>
      <c r="B2375" s="142">
        <v>44468</v>
      </c>
      <c r="C2375" s="141">
        <v>14.7</v>
      </c>
      <c r="D2375" s="141">
        <v>25586.600000000009</v>
      </c>
      <c r="E2375" s="141"/>
      <c r="F2375" s="141"/>
      <c r="G2375" s="141"/>
      <c r="J2375" s="141">
        <f t="shared" ref="J2375:J2438" si="75">J$1+(IF(J$3-$C2375&gt;0,J$3-$C2375,0)*J$2/30)</f>
        <v>0.59500000000000008</v>
      </c>
      <c r="K2375" s="141">
        <f t="shared" ref="K2375:K2438" si="76">K2374+J2375*24</f>
        <v>75414.240000000049</v>
      </c>
    </row>
    <row r="2376" spans="1:11">
      <c r="A2376" s="141">
        <v>2376</v>
      </c>
      <c r="B2376" s="142">
        <v>44469</v>
      </c>
      <c r="C2376" s="141">
        <v>11.7</v>
      </c>
      <c r="D2376" s="141">
        <v>25598.30000000001</v>
      </c>
      <c r="E2376" s="141"/>
      <c r="F2376" s="141"/>
      <c r="G2376" s="141"/>
      <c r="J2376" s="141">
        <f t="shared" si="75"/>
        <v>1.0449999999999999</v>
      </c>
      <c r="K2376" s="141">
        <f t="shared" si="76"/>
        <v>75439.320000000051</v>
      </c>
    </row>
    <row r="2377" spans="1:11">
      <c r="A2377" s="141">
        <v>2377</v>
      </c>
      <c r="B2377" s="142">
        <v>44470</v>
      </c>
      <c r="C2377" s="141">
        <v>10.5</v>
      </c>
      <c r="D2377" s="141">
        <v>25608.80000000001</v>
      </c>
      <c r="E2377" s="141"/>
      <c r="F2377" s="141"/>
      <c r="G2377" s="141"/>
      <c r="J2377" s="141">
        <f t="shared" si="75"/>
        <v>1.2250000000000001</v>
      </c>
      <c r="K2377" s="141">
        <f t="shared" si="76"/>
        <v>75468.720000000045</v>
      </c>
    </row>
    <row r="2378" spans="1:11">
      <c r="A2378" s="141">
        <v>2378</v>
      </c>
      <c r="B2378" s="142">
        <v>44471</v>
      </c>
      <c r="C2378" s="141">
        <v>13</v>
      </c>
      <c r="D2378" s="141">
        <v>25621.80000000001</v>
      </c>
      <c r="E2378" s="141"/>
      <c r="F2378" s="141"/>
      <c r="G2378" s="141"/>
      <c r="J2378" s="141">
        <f t="shared" si="75"/>
        <v>0.85</v>
      </c>
      <c r="K2378" s="141">
        <f t="shared" si="76"/>
        <v>75489.120000000039</v>
      </c>
    </row>
    <row r="2379" spans="1:11">
      <c r="A2379" s="141">
        <v>2379</v>
      </c>
      <c r="B2379" s="142">
        <v>44472</v>
      </c>
      <c r="C2379" s="141">
        <v>12.8</v>
      </c>
      <c r="D2379" s="141">
        <v>25634.600000000009</v>
      </c>
      <c r="E2379" s="141"/>
      <c r="F2379" s="141"/>
      <c r="G2379" s="141"/>
      <c r="J2379" s="141">
        <f t="shared" si="75"/>
        <v>0.88</v>
      </c>
      <c r="K2379" s="141">
        <f t="shared" si="76"/>
        <v>75510.240000000034</v>
      </c>
    </row>
    <row r="2380" spans="1:11">
      <c r="A2380" s="141">
        <v>2380</v>
      </c>
      <c r="B2380" s="142">
        <v>44473</v>
      </c>
      <c r="C2380" s="141">
        <v>13.2</v>
      </c>
      <c r="D2380" s="141">
        <v>25647.80000000001</v>
      </c>
      <c r="E2380" s="141"/>
      <c r="F2380" s="141"/>
      <c r="G2380" s="141"/>
      <c r="J2380" s="141">
        <f t="shared" si="75"/>
        <v>0.82000000000000006</v>
      </c>
      <c r="K2380" s="141">
        <f t="shared" si="76"/>
        <v>75529.920000000027</v>
      </c>
    </row>
    <row r="2381" spans="1:11">
      <c r="A2381" s="141">
        <v>2381</v>
      </c>
      <c r="B2381" s="142">
        <v>44474</v>
      </c>
      <c r="C2381" s="141">
        <v>15</v>
      </c>
      <c r="D2381" s="141">
        <v>25662.80000000001</v>
      </c>
      <c r="E2381" s="141"/>
      <c r="F2381" s="141"/>
      <c r="G2381" s="141"/>
      <c r="J2381" s="141">
        <f t="shared" si="75"/>
        <v>0.55000000000000004</v>
      </c>
      <c r="K2381" s="141">
        <f t="shared" si="76"/>
        <v>75543.120000000024</v>
      </c>
    </row>
    <row r="2382" spans="1:11">
      <c r="A2382" s="141">
        <v>2382</v>
      </c>
      <c r="B2382" s="142">
        <v>44475</v>
      </c>
      <c r="C2382" s="141">
        <v>12.7</v>
      </c>
      <c r="D2382" s="141">
        <v>25675.500000000011</v>
      </c>
      <c r="E2382" s="141"/>
      <c r="F2382" s="141"/>
      <c r="G2382" s="141"/>
      <c r="J2382" s="141">
        <f t="shared" si="75"/>
        <v>0.89500000000000002</v>
      </c>
      <c r="K2382" s="141">
        <f t="shared" si="76"/>
        <v>75564.60000000002</v>
      </c>
    </row>
    <row r="2383" spans="1:11">
      <c r="A2383" s="141">
        <v>2383</v>
      </c>
      <c r="B2383" s="142">
        <v>44476</v>
      </c>
      <c r="C2383" s="141">
        <v>12</v>
      </c>
      <c r="D2383" s="141">
        <v>25687.500000000011</v>
      </c>
      <c r="E2383" s="141"/>
      <c r="F2383" s="141"/>
      <c r="G2383" s="141"/>
      <c r="J2383" s="141">
        <f t="shared" si="75"/>
        <v>1</v>
      </c>
      <c r="K2383" s="141">
        <f t="shared" si="76"/>
        <v>75588.60000000002</v>
      </c>
    </row>
    <row r="2384" spans="1:11">
      <c r="A2384" s="141">
        <v>2384</v>
      </c>
      <c r="B2384" s="142">
        <v>44477</v>
      </c>
      <c r="C2384" s="141">
        <v>11.899999999999999</v>
      </c>
      <c r="D2384" s="141">
        <v>25699.400000000012</v>
      </c>
      <c r="E2384" s="141"/>
      <c r="F2384" s="141"/>
      <c r="G2384" s="141"/>
      <c r="J2384" s="141">
        <f t="shared" si="75"/>
        <v>1.0150000000000001</v>
      </c>
      <c r="K2384" s="141">
        <f t="shared" si="76"/>
        <v>75612.960000000021</v>
      </c>
    </row>
    <row r="2385" spans="1:11">
      <c r="A2385" s="141">
        <v>2385</v>
      </c>
      <c r="B2385" s="142">
        <v>44478</v>
      </c>
      <c r="C2385" s="141">
        <v>7.3999999999999986</v>
      </c>
      <c r="D2385" s="141">
        <v>25706.800000000014</v>
      </c>
      <c r="E2385" s="141"/>
      <c r="F2385" s="141"/>
      <c r="G2385" s="141"/>
      <c r="J2385" s="141">
        <f t="shared" si="75"/>
        <v>1.6900000000000002</v>
      </c>
      <c r="K2385" s="141">
        <f t="shared" si="76"/>
        <v>75653.520000000019</v>
      </c>
    </row>
    <row r="2386" spans="1:11">
      <c r="A2386" s="141">
        <v>2386</v>
      </c>
      <c r="B2386" s="142">
        <v>44479</v>
      </c>
      <c r="C2386" s="141">
        <v>5.3999999999999986</v>
      </c>
      <c r="D2386" s="141">
        <v>25712.200000000015</v>
      </c>
      <c r="E2386" s="141"/>
      <c r="F2386" s="141"/>
      <c r="G2386" s="141"/>
      <c r="J2386" s="141">
        <f t="shared" si="75"/>
        <v>1.99</v>
      </c>
      <c r="K2386" s="141">
        <f t="shared" si="76"/>
        <v>75701.280000000013</v>
      </c>
    </row>
    <row r="2387" spans="1:11">
      <c r="A2387" s="141">
        <v>2387</v>
      </c>
      <c r="B2387" s="142">
        <v>44480</v>
      </c>
      <c r="C2387" s="141">
        <v>6.5</v>
      </c>
      <c r="D2387" s="141">
        <v>25718.700000000015</v>
      </c>
      <c r="E2387" s="141"/>
      <c r="F2387" s="141"/>
      <c r="G2387" s="141"/>
      <c r="J2387" s="141">
        <f t="shared" si="75"/>
        <v>1.825</v>
      </c>
      <c r="K2387" s="141">
        <f t="shared" si="76"/>
        <v>75745.080000000016</v>
      </c>
    </row>
    <row r="2388" spans="1:11">
      <c r="A2388" s="141">
        <v>2388</v>
      </c>
      <c r="B2388" s="142">
        <v>44481</v>
      </c>
      <c r="C2388" s="141">
        <v>8.5</v>
      </c>
      <c r="D2388" s="141">
        <v>25727.200000000015</v>
      </c>
      <c r="E2388" s="141"/>
      <c r="F2388" s="141"/>
      <c r="G2388" s="141"/>
      <c r="J2388" s="141">
        <f t="shared" si="75"/>
        <v>1.5249999999999999</v>
      </c>
      <c r="K2388" s="141">
        <f t="shared" si="76"/>
        <v>75781.680000000022</v>
      </c>
    </row>
    <row r="2389" spans="1:11">
      <c r="A2389" s="141">
        <v>2389</v>
      </c>
      <c r="B2389" s="142">
        <v>44482</v>
      </c>
      <c r="C2389" s="141">
        <v>6.5</v>
      </c>
      <c r="D2389" s="141">
        <v>25733.700000000015</v>
      </c>
      <c r="E2389" s="141"/>
      <c r="F2389" s="141"/>
      <c r="G2389" s="141"/>
      <c r="J2389" s="141">
        <f t="shared" si="75"/>
        <v>1.825</v>
      </c>
      <c r="K2389" s="141">
        <f t="shared" si="76"/>
        <v>75825.480000000025</v>
      </c>
    </row>
    <row r="2390" spans="1:11">
      <c r="A2390" s="141">
        <v>2390</v>
      </c>
      <c r="B2390" s="142">
        <v>44483</v>
      </c>
      <c r="C2390" s="141">
        <v>6.8000000000000007</v>
      </c>
      <c r="D2390" s="141">
        <v>25740.500000000015</v>
      </c>
      <c r="E2390" s="141"/>
      <c r="F2390" s="141"/>
      <c r="G2390" s="141"/>
      <c r="J2390" s="141">
        <f t="shared" si="75"/>
        <v>1.78</v>
      </c>
      <c r="K2390" s="141">
        <f t="shared" si="76"/>
        <v>75868.200000000026</v>
      </c>
    </row>
    <row r="2391" spans="1:11">
      <c r="A2391" s="141">
        <v>2391</v>
      </c>
      <c r="B2391" s="142">
        <v>44484</v>
      </c>
      <c r="C2391" s="141">
        <v>11.100000000000001</v>
      </c>
      <c r="D2391" s="141">
        <v>25751.600000000013</v>
      </c>
      <c r="E2391" s="141"/>
      <c r="F2391" s="141"/>
      <c r="G2391" s="141"/>
      <c r="J2391" s="141">
        <f t="shared" si="75"/>
        <v>1.1349999999999998</v>
      </c>
      <c r="K2391" s="141">
        <f t="shared" si="76"/>
        <v>75895.440000000031</v>
      </c>
    </row>
    <row r="2392" spans="1:11">
      <c r="A2392" s="141">
        <v>2392</v>
      </c>
      <c r="B2392" s="142">
        <v>44485</v>
      </c>
      <c r="C2392" s="115">
        <v>7.3000000000000007</v>
      </c>
      <c r="D2392" s="141">
        <v>25758.900000000012</v>
      </c>
      <c r="E2392" s="141"/>
      <c r="F2392" s="141"/>
      <c r="G2392" s="141"/>
      <c r="J2392" s="141">
        <f t="shared" si="75"/>
        <v>1.7049999999999998</v>
      </c>
      <c r="K2392" s="141">
        <f t="shared" si="76"/>
        <v>75936.36000000003</v>
      </c>
    </row>
    <row r="2393" spans="1:11">
      <c r="A2393" s="141">
        <v>2393</v>
      </c>
      <c r="B2393" s="142">
        <v>44486</v>
      </c>
      <c r="C2393" s="115">
        <v>5.3999999999999986</v>
      </c>
      <c r="D2393" s="141">
        <v>25764.300000000014</v>
      </c>
      <c r="E2393" s="141"/>
      <c r="F2393" s="141"/>
      <c r="G2393" s="141"/>
      <c r="J2393" s="141">
        <f t="shared" si="75"/>
        <v>1.99</v>
      </c>
      <c r="K2393" s="141">
        <f t="shared" si="76"/>
        <v>75984.120000000024</v>
      </c>
    </row>
    <row r="2394" spans="1:11">
      <c r="A2394" s="141">
        <v>2394</v>
      </c>
      <c r="B2394" s="142">
        <v>44487</v>
      </c>
      <c r="C2394" s="115">
        <v>9.8999999999999986</v>
      </c>
      <c r="D2394" s="141">
        <v>25774.200000000015</v>
      </c>
      <c r="E2394" s="141"/>
      <c r="F2394" s="141"/>
      <c r="G2394" s="141"/>
      <c r="J2394" s="141">
        <f t="shared" si="75"/>
        <v>1.3150000000000002</v>
      </c>
      <c r="K2394" s="141">
        <f t="shared" si="76"/>
        <v>76015.680000000022</v>
      </c>
    </row>
    <row r="2395" spans="1:11">
      <c r="A2395" s="141">
        <v>2395</v>
      </c>
      <c r="B2395" s="142">
        <v>44488</v>
      </c>
      <c r="C2395" s="115">
        <v>11</v>
      </c>
      <c r="D2395" s="141">
        <v>25785.200000000015</v>
      </c>
      <c r="E2395" s="141"/>
      <c r="F2395" s="141"/>
      <c r="G2395" s="141"/>
      <c r="J2395" s="141">
        <f t="shared" si="75"/>
        <v>1.1499999999999999</v>
      </c>
      <c r="K2395" s="141">
        <f t="shared" si="76"/>
        <v>76043.280000000028</v>
      </c>
    </row>
    <row r="2396" spans="1:11">
      <c r="A2396" s="141">
        <v>2396</v>
      </c>
      <c r="B2396" s="142">
        <v>44489</v>
      </c>
      <c r="C2396" s="115">
        <v>16.399999999999999</v>
      </c>
      <c r="D2396" s="141">
        <v>25801.600000000017</v>
      </c>
      <c r="E2396" s="141"/>
      <c r="F2396" s="141"/>
      <c r="G2396" s="141"/>
      <c r="J2396" s="141">
        <f t="shared" si="75"/>
        <v>0.34000000000000019</v>
      </c>
      <c r="K2396" s="141">
        <f t="shared" si="76"/>
        <v>76051.440000000031</v>
      </c>
    </row>
    <row r="2397" spans="1:11">
      <c r="A2397" s="141">
        <v>2397</v>
      </c>
      <c r="B2397" s="142">
        <v>44490</v>
      </c>
      <c r="C2397" s="115">
        <v>13.7</v>
      </c>
      <c r="D2397" s="141">
        <v>25815.300000000017</v>
      </c>
      <c r="E2397" s="141"/>
      <c r="F2397" s="141"/>
      <c r="G2397" s="141"/>
      <c r="J2397" s="141">
        <f t="shared" si="75"/>
        <v>0.74500000000000011</v>
      </c>
      <c r="K2397" s="141">
        <f t="shared" si="76"/>
        <v>76069.320000000036</v>
      </c>
    </row>
    <row r="2398" spans="1:11">
      <c r="A2398" s="141">
        <v>2398</v>
      </c>
      <c r="B2398" s="142">
        <v>44491</v>
      </c>
      <c r="C2398" s="115">
        <v>8.3999999999999986</v>
      </c>
      <c r="D2398" s="141">
        <v>25823.700000000019</v>
      </c>
      <c r="E2398" s="141"/>
      <c r="F2398" s="141"/>
      <c r="G2398" s="141"/>
      <c r="J2398" s="141">
        <f t="shared" si="75"/>
        <v>1.54</v>
      </c>
      <c r="K2398" s="141">
        <f t="shared" si="76"/>
        <v>76106.280000000042</v>
      </c>
    </row>
    <row r="2399" spans="1:11">
      <c r="A2399" s="141">
        <v>2399</v>
      </c>
      <c r="B2399" s="142">
        <v>44492</v>
      </c>
      <c r="C2399" s="115">
        <v>7.3999999999999986</v>
      </c>
      <c r="D2399" s="141">
        <v>25831.10000000002</v>
      </c>
      <c r="E2399" s="141"/>
      <c r="F2399" s="141"/>
      <c r="G2399" s="141"/>
      <c r="J2399" s="141">
        <f t="shared" si="75"/>
        <v>1.6900000000000002</v>
      </c>
      <c r="K2399" s="141">
        <f t="shared" si="76"/>
        <v>76146.84000000004</v>
      </c>
    </row>
    <row r="2400" spans="1:11">
      <c r="A2400" s="141">
        <v>2400</v>
      </c>
      <c r="B2400" s="142">
        <v>44493</v>
      </c>
      <c r="C2400" s="115">
        <v>4.6000000000000014</v>
      </c>
      <c r="D2400" s="141">
        <v>25835.700000000019</v>
      </c>
      <c r="E2400" s="141"/>
      <c r="F2400" s="141"/>
      <c r="G2400" s="141"/>
      <c r="J2400" s="141">
        <f t="shared" si="75"/>
        <v>2.11</v>
      </c>
      <c r="K2400" s="141">
        <f t="shared" si="76"/>
        <v>76197.48000000004</v>
      </c>
    </row>
    <row r="2401" spans="1:11">
      <c r="A2401" s="141">
        <v>2401</v>
      </c>
      <c r="B2401" s="142">
        <v>44494</v>
      </c>
      <c r="C2401" s="115">
        <v>4.5</v>
      </c>
      <c r="D2401" s="141">
        <v>25840.200000000019</v>
      </c>
      <c r="E2401" s="141"/>
      <c r="F2401" s="141"/>
      <c r="G2401" s="141"/>
      <c r="J2401" s="141">
        <f t="shared" si="75"/>
        <v>2.125</v>
      </c>
      <c r="K2401" s="141">
        <f t="shared" si="76"/>
        <v>76248.48000000004</v>
      </c>
    </row>
    <row r="2402" spans="1:11">
      <c r="A2402" s="141">
        <v>2402</v>
      </c>
      <c r="B2402" s="142">
        <v>44495</v>
      </c>
      <c r="C2402" s="115">
        <v>6.3999999999999986</v>
      </c>
      <c r="D2402" s="141">
        <v>25846.60000000002</v>
      </c>
      <c r="E2402" s="141"/>
      <c r="F2402" s="141"/>
      <c r="G2402" s="141"/>
      <c r="J2402" s="141">
        <f t="shared" si="75"/>
        <v>1.84</v>
      </c>
      <c r="K2402" s="141">
        <f t="shared" si="76"/>
        <v>76292.640000000043</v>
      </c>
    </row>
    <row r="2403" spans="1:11">
      <c r="A2403" s="141">
        <v>2403</v>
      </c>
      <c r="B2403" s="142">
        <v>44496</v>
      </c>
      <c r="C2403" s="115">
        <v>7.8999999999999986</v>
      </c>
      <c r="D2403" s="141">
        <v>25854.500000000022</v>
      </c>
      <c r="E2403" s="141"/>
      <c r="F2403" s="141"/>
      <c r="G2403" s="141"/>
      <c r="J2403" s="141">
        <f t="shared" si="75"/>
        <v>1.615</v>
      </c>
      <c r="K2403" s="141">
        <f t="shared" si="76"/>
        <v>76331.400000000038</v>
      </c>
    </row>
    <row r="2404" spans="1:11">
      <c r="A2404" s="141">
        <v>2404</v>
      </c>
      <c r="B2404" s="142">
        <v>44497</v>
      </c>
      <c r="C2404" s="115">
        <v>6.3000000000000007</v>
      </c>
      <c r="D2404" s="141">
        <v>25860.800000000021</v>
      </c>
      <c r="E2404" s="141"/>
      <c r="F2404" s="141"/>
      <c r="G2404" s="141"/>
      <c r="J2404" s="141">
        <f t="shared" si="75"/>
        <v>1.855</v>
      </c>
      <c r="K2404" s="141">
        <f t="shared" si="76"/>
        <v>76375.920000000042</v>
      </c>
    </row>
    <row r="2405" spans="1:11">
      <c r="A2405" s="141">
        <v>2405</v>
      </c>
      <c r="B2405" s="142">
        <v>44498</v>
      </c>
      <c r="C2405" s="115">
        <v>6.8000000000000007</v>
      </c>
      <c r="D2405" s="141">
        <v>25867.60000000002</v>
      </c>
      <c r="E2405" s="141"/>
      <c r="F2405" s="141"/>
      <c r="G2405" s="141"/>
      <c r="J2405" s="141">
        <f t="shared" si="75"/>
        <v>1.78</v>
      </c>
      <c r="K2405" s="141">
        <f t="shared" si="76"/>
        <v>76418.640000000043</v>
      </c>
    </row>
    <row r="2406" spans="1:11">
      <c r="A2406" s="141">
        <v>2406</v>
      </c>
      <c r="B2406" s="142">
        <v>44499</v>
      </c>
      <c r="C2406" s="115">
        <v>7.1999999999999993</v>
      </c>
      <c r="D2406" s="141">
        <v>25874.800000000021</v>
      </c>
      <c r="E2406" s="141"/>
      <c r="F2406" s="141"/>
      <c r="G2406" s="141"/>
      <c r="J2406" s="141">
        <f t="shared" si="75"/>
        <v>1.72</v>
      </c>
      <c r="K2406" s="141">
        <f t="shared" si="76"/>
        <v>76459.920000000042</v>
      </c>
    </row>
    <row r="2407" spans="1:11">
      <c r="A2407" s="141">
        <v>2407</v>
      </c>
      <c r="B2407" s="142">
        <v>44500</v>
      </c>
      <c r="C2407" s="115">
        <v>7.5</v>
      </c>
      <c r="D2407" s="141">
        <v>25882.300000000021</v>
      </c>
      <c r="E2407" s="141"/>
      <c r="F2407" s="141"/>
      <c r="G2407" s="141"/>
      <c r="J2407" s="141">
        <f t="shared" si="75"/>
        <v>1.675</v>
      </c>
      <c r="K2407" s="141">
        <f t="shared" si="76"/>
        <v>76500.120000000039</v>
      </c>
    </row>
    <row r="2408" spans="1:11">
      <c r="A2408" s="141">
        <v>2408</v>
      </c>
      <c r="B2408" s="142">
        <v>44501</v>
      </c>
      <c r="C2408" s="115">
        <v>6.8999999999999986</v>
      </c>
      <c r="D2408" s="141">
        <v>25889.200000000023</v>
      </c>
      <c r="E2408" s="141"/>
      <c r="F2408" s="141"/>
      <c r="G2408" s="141"/>
      <c r="J2408" s="141">
        <f t="shared" si="75"/>
        <v>1.7650000000000001</v>
      </c>
      <c r="K2408" s="141">
        <f t="shared" si="76"/>
        <v>76542.48000000004</v>
      </c>
    </row>
    <row r="2409" spans="1:11">
      <c r="A2409" s="141">
        <v>2409</v>
      </c>
      <c r="B2409" s="142">
        <v>44502</v>
      </c>
      <c r="C2409" s="115">
        <v>7.8999999999999986</v>
      </c>
      <c r="D2409" s="141">
        <v>25897.100000000024</v>
      </c>
      <c r="E2409" s="141"/>
      <c r="F2409" s="141"/>
      <c r="G2409" s="141"/>
      <c r="J2409" s="141">
        <f t="shared" si="75"/>
        <v>1.615</v>
      </c>
      <c r="K2409" s="141">
        <f t="shared" si="76"/>
        <v>76581.240000000034</v>
      </c>
    </row>
    <row r="2410" spans="1:11">
      <c r="A2410" s="141">
        <v>2410</v>
      </c>
      <c r="B2410" s="142">
        <v>44503</v>
      </c>
      <c r="C2410" s="115">
        <v>6.3000000000000007</v>
      </c>
      <c r="D2410" s="141">
        <v>25903.400000000023</v>
      </c>
      <c r="E2410" s="141"/>
      <c r="F2410" s="141"/>
      <c r="G2410" s="141"/>
      <c r="J2410" s="141">
        <f t="shared" si="75"/>
        <v>1.855</v>
      </c>
      <c r="K2410" s="141">
        <f t="shared" si="76"/>
        <v>76625.760000000038</v>
      </c>
    </row>
    <row r="2411" spans="1:11">
      <c r="A2411" s="141">
        <v>2411</v>
      </c>
      <c r="B2411" s="142">
        <v>44504</v>
      </c>
      <c r="C2411" s="115">
        <v>8</v>
      </c>
      <c r="D2411" s="141">
        <v>25911.400000000023</v>
      </c>
      <c r="E2411" s="141"/>
      <c r="F2411" s="141"/>
      <c r="G2411" s="141"/>
      <c r="J2411" s="141">
        <f t="shared" si="75"/>
        <v>1.6</v>
      </c>
      <c r="K2411" s="141">
        <f t="shared" si="76"/>
        <v>76664.160000000033</v>
      </c>
    </row>
    <row r="2412" spans="1:11">
      <c r="A2412" s="141">
        <v>2412</v>
      </c>
      <c r="B2412" s="142">
        <v>44505</v>
      </c>
      <c r="C2412" s="115">
        <v>6.6000000000000014</v>
      </c>
      <c r="D2412" s="141">
        <v>25918.000000000022</v>
      </c>
      <c r="E2412" s="141"/>
      <c r="F2412" s="141"/>
      <c r="G2412" s="141"/>
      <c r="J2412" s="141">
        <f t="shared" si="75"/>
        <v>1.8099999999999998</v>
      </c>
      <c r="K2412" s="141">
        <f t="shared" si="76"/>
        <v>76707.600000000035</v>
      </c>
    </row>
    <row r="2413" spans="1:11">
      <c r="A2413" s="141">
        <v>2413</v>
      </c>
      <c r="B2413" s="142">
        <v>44506</v>
      </c>
      <c r="C2413" s="115">
        <v>6.1999999999999993</v>
      </c>
      <c r="D2413" s="141">
        <v>25924.200000000023</v>
      </c>
      <c r="E2413" s="141"/>
      <c r="F2413" s="141"/>
      <c r="G2413" s="141"/>
      <c r="J2413" s="141">
        <f t="shared" si="75"/>
        <v>1.87</v>
      </c>
      <c r="K2413" s="141">
        <f t="shared" si="76"/>
        <v>76752.48000000004</v>
      </c>
    </row>
    <row r="2414" spans="1:11">
      <c r="A2414" s="141">
        <v>2414</v>
      </c>
      <c r="B2414" s="142">
        <v>44507</v>
      </c>
      <c r="C2414" s="115">
        <v>4.5</v>
      </c>
      <c r="D2414" s="141">
        <v>25928.700000000023</v>
      </c>
      <c r="E2414" s="141"/>
      <c r="F2414" s="141"/>
      <c r="G2414" s="141"/>
      <c r="J2414" s="141">
        <f t="shared" si="75"/>
        <v>2.125</v>
      </c>
      <c r="K2414" s="141">
        <f t="shared" si="76"/>
        <v>76803.48000000004</v>
      </c>
    </row>
    <row r="2415" spans="1:11">
      <c r="A2415" s="141">
        <v>2415</v>
      </c>
      <c r="B2415" s="142">
        <v>44508</v>
      </c>
      <c r="C2415" s="115">
        <v>6.8000000000000007</v>
      </c>
      <c r="D2415" s="141">
        <v>25935.500000000022</v>
      </c>
      <c r="E2415" s="141"/>
      <c r="F2415" s="141"/>
      <c r="G2415" s="141"/>
      <c r="J2415" s="141">
        <f t="shared" si="75"/>
        <v>1.78</v>
      </c>
      <c r="K2415" s="141">
        <f t="shared" si="76"/>
        <v>76846.200000000041</v>
      </c>
    </row>
    <row r="2416" spans="1:11">
      <c r="A2416" s="141">
        <v>2416</v>
      </c>
      <c r="B2416" s="142">
        <v>44509</v>
      </c>
      <c r="C2416" s="115">
        <v>5.8000000000000007</v>
      </c>
      <c r="D2416" s="141">
        <v>25941.300000000021</v>
      </c>
      <c r="E2416" s="141"/>
      <c r="F2416" s="141"/>
      <c r="G2416" s="141"/>
      <c r="J2416" s="141">
        <f t="shared" si="75"/>
        <v>1.93</v>
      </c>
      <c r="K2416" s="141">
        <f t="shared" si="76"/>
        <v>76892.520000000048</v>
      </c>
    </row>
    <row r="2417" spans="1:11">
      <c r="A2417" s="141">
        <v>2417</v>
      </c>
      <c r="B2417" s="142">
        <v>44510</v>
      </c>
      <c r="C2417" s="115">
        <v>3.6000000000000014</v>
      </c>
      <c r="D2417" s="141">
        <v>25944.90000000002</v>
      </c>
      <c r="E2417" s="141"/>
      <c r="F2417" s="141"/>
      <c r="G2417" s="141"/>
      <c r="J2417" s="141">
        <f t="shared" si="75"/>
        <v>2.2599999999999998</v>
      </c>
      <c r="K2417" s="141">
        <f t="shared" si="76"/>
        <v>76946.760000000053</v>
      </c>
    </row>
    <row r="2418" spans="1:11">
      <c r="A2418" s="141">
        <v>2418</v>
      </c>
      <c r="B2418" s="142">
        <v>44511</v>
      </c>
      <c r="C2418" s="115">
        <v>3.1999999999999993</v>
      </c>
      <c r="D2418" s="141">
        <v>25948.10000000002</v>
      </c>
      <c r="E2418" s="141"/>
      <c r="F2418" s="141"/>
      <c r="G2418" s="141"/>
      <c r="J2418" s="141">
        <f t="shared" si="75"/>
        <v>2.3199999999999998</v>
      </c>
      <c r="K2418" s="141">
        <f t="shared" si="76"/>
        <v>77002.440000000046</v>
      </c>
    </row>
    <row r="2419" spans="1:11">
      <c r="A2419" s="141">
        <v>2419</v>
      </c>
      <c r="B2419" s="142">
        <v>44512</v>
      </c>
      <c r="C2419" s="115">
        <v>4</v>
      </c>
      <c r="D2419" s="141">
        <v>25952.10000000002</v>
      </c>
      <c r="E2419" s="141"/>
      <c r="F2419" s="141"/>
      <c r="G2419" s="141"/>
      <c r="J2419" s="141">
        <f t="shared" si="75"/>
        <v>2.2000000000000002</v>
      </c>
      <c r="K2419" s="141">
        <f t="shared" si="76"/>
        <v>77055.240000000049</v>
      </c>
    </row>
    <row r="2420" spans="1:11">
      <c r="A2420" s="141">
        <v>2420</v>
      </c>
      <c r="B2420" s="142">
        <v>44513</v>
      </c>
      <c r="C2420" s="115">
        <v>4.6000000000000014</v>
      </c>
      <c r="D2420" s="141">
        <v>25956.700000000019</v>
      </c>
      <c r="E2420" s="141"/>
      <c r="F2420" s="141"/>
      <c r="G2420" s="141"/>
      <c r="J2420" s="141">
        <f t="shared" si="75"/>
        <v>2.11</v>
      </c>
      <c r="K2420" s="141">
        <f t="shared" si="76"/>
        <v>77105.880000000048</v>
      </c>
    </row>
    <row r="2421" spans="1:11">
      <c r="A2421" s="141">
        <v>2421</v>
      </c>
      <c r="B2421" s="142">
        <v>44514</v>
      </c>
      <c r="C2421" s="115">
        <v>5</v>
      </c>
      <c r="D2421" s="141">
        <v>25961.700000000019</v>
      </c>
      <c r="E2421" s="141"/>
      <c r="F2421" s="141"/>
      <c r="G2421" s="141"/>
      <c r="J2421" s="141">
        <f t="shared" si="75"/>
        <v>2.0499999999999998</v>
      </c>
      <c r="K2421" s="141">
        <f t="shared" si="76"/>
        <v>77155.080000000045</v>
      </c>
    </row>
    <row r="2422" spans="1:11">
      <c r="A2422" s="141">
        <v>2422</v>
      </c>
      <c r="B2422" s="142">
        <v>44515</v>
      </c>
      <c r="C2422" s="115">
        <v>4.3000000000000007</v>
      </c>
      <c r="D2422" s="141">
        <v>25966.000000000018</v>
      </c>
      <c r="E2422" s="141"/>
      <c r="F2422" s="141"/>
      <c r="G2422" s="141"/>
      <c r="J2422" s="141">
        <f t="shared" si="75"/>
        <v>2.1550000000000002</v>
      </c>
      <c r="K2422" s="141">
        <f t="shared" si="76"/>
        <v>77206.800000000047</v>
      </c>
    </row>
    <row r="2423" spans="1:11">
      <c r="A2423" s="141">
        <v>2423</v>
      </c>
      <c r="B2423" s="142">
        <v>44516</v>
      </c>
      <c r="C2423" s="115">
        <v>5.3000000000000007</v>
      </c>
      <c r="D2423" s="141">
        <v>25971.300000000017</v>
      </c>
      <c r="E2423" s="141"/>
      <c r="F2423" s="141"/>
      <c r="G2423" s="141"/>
      <c r="J2423" s="141">
        <f t="shared" si="75"/>
        <v>2.0049999999999999</v>
      </c>
      <c r="K2423" s="141">
        <f t="shared" si="76"/>
        <v>77254.920000000042</v>
      </c>
    </row>
    <row r="2424" spans="1:11">
      <c r="A2424" s="141">
        <v>2424</v>
      </c>
      <c r="B2424" s="142">
        <v>44517</v>
      </c>
      <c r="C2424" s="115">
        <v>4.3000000000000007</v>
      </c>
      <c r="D2424" s="141">
        <v>25975.600000000017</v>
      </c>
      <c r="E2424" s="141"/>
      <c r="F2424" s="141"/>
      <c r="G2424" s="141"/>
      <c r="J2424" s="141">
        <f t="shared" si="75"/>
        <v>2.1550000000000002</v>
      </c>
      <c r="K2424" s="141">
        <f t="shared" si="76"/>
        <v>77306.640000000043</v>
      </c>
    </row>
    <row r="2425" spans="1:11">
      <c r="A2425" s="141">
        <v>2425</v>
      </c>
      <c r="B2425" s="142">
        <v>44518</v>
      </c>
      <c r="C2425" s="115">
        <v>6.6000000000000014</v>
      </c>
      <c r="D2425" s="141">
        <v>25982.200000000015</v>
      </c>
      <c r="E2425" s="141"/>
      <c r="F2425" s="141"/>
      <c r="G2425" s="141"/>
      <c r="J2425" s="141">
        <f t="shared" si="75"/>
        <v>1.8099999999999998</v>
      </c>
      <c r="K2425" s="141">
        <f t="shared" si="76"/>
        <v>77350.080000000045</v>
      </c>
    </row>
    <row r="2426" spans="1:11">
      <c r="A2426" s="141">
        <v>2426</v>
      </c>
      <c r="B2426" s="142">
        <v>44519</v>
      </c>
      <c r="C2426" s="115">
        <v>8.3999999999999986</v>
      </c>
      <c r="D2426" s="141">
        <v>25990.600000000017</v>
      </c>
      <c r="E2426" s="141"/>
      <c r="F2426" s="141"/>
      <c r="G2426" s="141"/>
      <c r="J2426" s="141">
        <f t="shared" si="75"/>
        <v>1.54</v>
      </c>
      <c r="K2426" s="141">
        <f t="shared" si="76"/>
        <v>77387.040000000052</v>
      </c>
    </row>
    <row r="2427" spans="1:11">
      <c r="A2427" s="141">
        <v>2427</v>
      </c>
      <c r="B2427" s="142">
        <v>44520</v>
      </c>
      <c r="C2427" s="115">
        <v>9</v>
      </c>
      <c r="D2427" s="141">
        <v>25999.600000000017</v>
      </c>
      <c r="E2427" s="141"/>
      <c r="F2427" s="141"/>
      <c r="G2427" s="141"/>
      <c r="J2427" s="141">
        <f t="shared" si="75"/>
        <v>1.45</v>
      </c>
      <c r="K2427" s="141">
        <f t="shared" si="76"/>
        <v>77421.840000000055</v>
      </c>
    </row>
    <row r="2428" spans="1:11">
      <c r="A2428" s="141">
        <v>2428</v>
      </c>
      <c r="B2428" s="142">
        <v>44521</v>
      </c>
      <c r="C2428" s="115">
        <v>4.8000000000000007</v>
      </c>
      <c r="D2428" s="141">
        <v>26004.400000000016</v>
      </c>
      <c r="E2428" s="141"/>
      <c r="F2428" s="141"/>
      <c r="G2428" s="141"/>
      <c r="J2428" s="141">
        <f t="shared" si="75"/>
        <v>2.08</v>
      </c>
      <c r="K2428" s="141">
        <f t="shared" si="76"/>
        <v>77471.760000000053</v>
      </c>
    </row>
    <row r="2429" spans="1:11">
      <c r="A2429" s="141">
        <v>2429</v>
      </c>
      <c r="B2429" s="142">
        <v>44522</v>
      </c>
      <c r="C2429" s="115">
        <v>4.5</v>
      </c>
      <c r="D2429" s="141">
        <v>26008.900000000016</v>
      </c>
      <c r="E2429" s="141"/>
      <c r="F2429" s="141"/>
      <c r="G2429" s="141"/>
      <c r="J2429" s="141">
        <f t="shared" si="75"/>
        <v>2.125</v>
      </c>
      <c r="K2429" s="141">
        <f t="shared" si="76"/>
        <v>77522.760000000053</v>
      </c>
    </row>
    <row r="2430" spans="1:11">
      <c r="A2430" s="141">
        <v>2430</v>
      </c>
      <c r="B2430" s="142">
        <v>44523</v>
      </c>
      <c r="C2430" s="115">
        <v>2.5</v>
      </c>
      <c r="D2430" s="141">
        <v>26011.400000000016</v>
      </c>
      <c r="E2430" s="141"/>
      <c r="F2430" s="141"/>
      <c r="G2430" s="141"/>
      <c r="J2430" s="141">
        <f t="shared" si="75"/>
        <v>2.4249999999999998</v>
      </c>
      <c r="K2430" s="141">
        <f t="shared" si="76"/>
        <v>77580.96000000005</v>
      </c>
    </row>
    <row r="2431" spans="1:11">
      <c r="A2431" s="141">
        <v>2431</v>
      </c>
      <c r="B2431" s="142">
        <v>44524</v>
      </c>
      <c r="C2431" s="115">
        <v>4.3999999999999986</v>
      </c>
      <c r="D2431" s="141">
        <v>26015.800000000017</v>
      </c>
      <c r="E2431" s="141"/>
      <c r="F2431" s="141"/>
      <c r="G2431" s="141"/>
      <c r="J2431" s="141">
        <f t="shared" si="75"/>
        <v>2.14</v>
      </c>
      <c r="K2431" s="141">
        <f t="shared" si="76"/>
        <v>77632.320000000051</v>
      </c>
    </row>
    <row r="2432" spans="1:11">
      <c r="A2432" s="141">
        <v>2432</v>
      </c>
      <c r="B2432" s="142">
        <v>44525</v>
      </c>
      <c r="C2432" s="115">
        <v>1.5</v>
      </c>
      <c r="D2432" s="141">
        <v>26017.300000000017</v>
      </c>
      <c r="E2432" s="141"/>
      <c r="F2432" s="141"/>
      <c r="G2432" s="141"/>
      <c r="J2432" s="141">
        <f t="shared" si="75"/>
        <v>2.5750000000000002</v>
      </c>
      <c r="K2432" s="141">
        <f t="shared" si="76"/>
        <v>77694.120000000054</v>
      </c>
    </row>
    <row r="2433" spans="1:11">
      <c r="A2433" s="141">
        <v>2433</v>
      </c>
      <c r="B2433" s="142">
        <v>44526</v>
      </c>
      <c r="C2433" s="115">
        <v>1.1000000000000014</v>
      </c>
      <c r="D2433" s="141">
        <v>26018.400000000016</v>
      </c>
      <c r="E2433" s="141"/>
      <c r="F2433" s="141"/>
      <c r="G2433" s="141"/>
      <c r="J2433" s="141">
        <f t="shared" si="75"/>
        <v>2.6349999999999998</v>
      </c>
      <c r="K2433" s="141">
        <f t="shared" si="76"/>
        <v>77757.360000000059</v>
      </c>
    </row>
    <row r="2434" spans="1:11">
      <c r="A2434" s="141">
        <v>2434</v>
      </c>
      <c r="B2434" s="142">
        <v>44527</v>
      </c>
      <c r="C2434" s="115">
        <v>1.1000000000000014</v>
      </c>
      <c r="D2434" s="141">
        <v>26019.500000000015</v>
      </c>
      <c r="E2434" s="141"/>
      <c r="F2434" s="141"/>
      <c r="G2434" s="141"/>
      <c r="J2434" s="141">
        <f t="shared" si="75"/>
        <v>2.6349999999999998</v>
      </c>
      <c r="K2434" s="141">
        <f t="shared" si="76"/>
        <v>77820.600000000064</v>
      </c>
    </row>
    <row r="2435" spans="1:11">
      <c r="A2435" s="141">
        <v>2435</v>
      </c>
      <c r="B2435" s="142">
        <v>44528</v>
      </c>
      <c r="C2435" s="115">
        <v>0.19999999999999929</v>
      </c>
      <c r="D2435" s="141">
        <v>26019.700000000015</v>
      </c>
      <c r="E2435" s="141"/>
      <c r="F2435" s="141"/>
      <c r="G2435" s="141"/>
      <c r="J2435" s="141">
        <f t="shared" si="75"/>
        <v>2.7700000000000005</v>
      </c>
      <c r="K2435" s="141">
        <f t="shared" si="76"/>
        <v>77887.08000000006</v>
      </c>
    </row>
    <row r="2436" spans="1:11">
      <c r="A2436" s="141">
        <v>2436</v>
      </c>
      <c r="B2436" s="142">
        <v>44529</v>
      </c>
      <c r="C2436" s="115">
        <v>0.30000000000000071</v>
      </c>
      <c r="D2436" s="141">
        <v>26020.000000000015</v>
      </c>
      <c r="E2436" s="141"/>
      <c r="F2436" s="141"/>
      <c r="G2436" s="141"/>
      <c r="J2436" s="141">
        <f t="shared" si="75"/>
        <v>2.7549999999999999</v>
      </c>
      <c r="K2436" s="141">
        <f t="shared" si="76"/>
        <v>77953.200000000055</v>
      </c>
    </row>
    <row r="2437" spans="1:11">
      <c r="A2437" s="141">
        <v>2437</v>
      </c>
      <c r="B2437" s="142">
        <v>44530</v>
      </c>
      <c r="C2437" s="115">
        <v>2.1000000000000014</v>
      </c>
      <c r="D2437" s="141">
        <v>26022.100000000013</v>
      </c>
      <c r="E2437" s="141"/>
      <c r="F2437" s="141"/>
      <c r="G2437" s="141"/>
      <c r="J2437" s="141">
        <f t="shared" si="75"/>
        <v>2.4849999999999999</v>
      </c>
      <c r="K2437" s="141">
        <f t="shared" si="76"/>
        <v>78012.840000000055</v>
      </c>
    </row>
    <row r="2438" spans="1:11">
      <c r="A2438" s="141">
        <v>2438</v>
      </c>
      <c r="B2438" s="142">
        <v>44531</v>
      </c>
      <c r="C2438" s="115">
        <v>6</v>
      </c>
      <c r="D2438" s="141">
        <v>26028.100000000013</v>
      </c>
      <c r="E2438" s="141"/>
      <c r="F2438" s="141"/>
      <c r="G2438" s="141"/>
      <c r="J2438" s="141">
        <f t="shared" si="75"/>
        <v>1.9</v>
      </c>
      <c r="K2438" s="141">
        <f t="shared" si="76"/>
        <v>78058.440000000061</v>
      </c>
    </row>
    <row r="2439" spans="1:11">
      <c r="A2439" s="141">
        <v>2439</v>
      </c>
      <c r="B2439" s="142">
        <v>44532</v>
      </c>
      <c r="C2439" s="115">
        <v>4.1999999999999993</v>
      </c>
      <c r="D2439" s="141">
        <v>26032.300000000014</v>
      </c>
      <c r="E2439" s="141"/>
      <c r="F2439" s="141"/>
      <c r="G2439" s="141"/>
      <c r="J2439" s="141">
        <f t="shared" ref="J2439:J2502" si="77">J$1+(IF(J$3-$C2439&gt;0,J$3-$C2439,0)*J$2/30)</f>
        <v>2.17</v>
      </c>
      <c r="K2439" s="141">
        <f t="shared" ref="K2439:K2502" si="78">K2438+J2439*24</f>
        <v>78110.520000000062</v>
      </c>
    </row>
    <row r="2440" spans="1:11">
      <c r="A2440" s="141">
        <v>2440</v>
      </c>
      <c r="B2440" s="142">
        <v>44533</v>
      </c>
      <c r="C2440" s="115">
        <v>-0.89999999999999858</v>
      </c>
      <c r="D2440" s="141">
        <v>26031.400000000012</v>
      </c>
      <c r="E2440" s="141"/>
      <c r="F2440" s="141"/>
      <c r="G2440" s="141"/>
      <c r="J2440" s="141">
        <f t="shared" si="77"/>
        <v>2.9350000000000001</v>
      </c>
      <c r="K2440" s="141">
        <f t="shared" si="78"/>
        <v>78180.960000000065</v>
      </c>
    </row>
    <row r="2441" spans="1:11">
      <c r="A2441" s="141">
        <v>2441</v>
      </c>
      <c r="B2441" s="142">
        <v>44534</v>
      </c>
      <c r="C2441" s="115">
        <v>-0.69999999999999929</v>
      </c>
      <c r="D2441" s="141">
        <v>26030.700000000012</v>
      </c>
      <c r="E2441" s="141"/>
      <c r="F2441" s="141"/>
      <c r="G2441" s="141"/>
      <c r="J2441" s="141">
        <f t="shared" si="77"/>
        <v>2.9049999999999998</v>
      </c>
      <c r="K2441" s="141">
        <f t="shared" si="78"/>
        <v>78250.680000000066</v>
      </c>
    </row>
    <row r="2442" spans="1:11">
      <c r="A2442" s="141">
        <v>2442</v>
      </c>
      <c r="B2442" s="142">
        <v>44535</v>
      </c>
      <c r="C2442" s="115">
        <v>2</v>
      </c>
      <c r="D2442" s="141">
        <v>26032.700000000012</v>
      </c>
      <c r="E2442" s="141"/>
      <c r="F2442" s="141"/>
      <c r="G2442" s="141"/>
      <c r="J2442" s="141">
        <f t="shared" si="77"/>
        <v>2.5</v>
      </c>
      <c r="K2442" s="141">
        <f t="shared" si="78"/>
        <v>78310.680000000066</v>
      </c>
    </row>
    <row r="2443" spans="1:11">
      <c r="A2443" s="141">
        <v>2443</v>
      </c>
      <c r="B2443" s="142">
        <v>44536</v>
      </c>
      <c r="C2443" s="115">
        <v>0.10000000000000142</v>
      </c>
      <c r="D2443" s="141">
        <v>26032.80000000001</v>
      </c>
      <c r="E2443" s="141"/>
      <c r="F2443" s="141"/>
      <c r="G2443" s="141"/>
      <c r="J2443" s="141">
        <f t="shared" si="77"/>
        <v>2.7849999999999997</v>
      </c>
      <c r="K2443" s="141">
        <f t="shared" si="78"/>
        <v>78377.520000000062</v>
      </c>
    </row>
    <row r="2444" spans="1:11">
      <c r="A2444" s="141">
        <v>2444</v>
      </c>
      <c r="B2444" s="142">
        <v>44537</v>
      </c>
      <c r="C2444" s="115">
        <v>-0.10000000000000142</v>
      </c>
      <c r="D2444" s="141">
        <v>26032.700000000012</v>
      </c>
      <c r="E2444" s="141"/>
      <c r="F2444" s="141"/>
      <c r="G2444" s="141"/>
      <c r="J2444" s="141">
        <f t="shared" si="77"/>
        <v>2.8149999999999999</v>
      </c>
      <c r="K2444" s="141">
        <f t="shared" si="78"/>
        <v>78445.08000000006</v>
      </c>
    </row>
    <row r="2445" spans="1:11">
      <c r="A2445" s="141">
        <v>2445</v>
      </c>
      <c r="B2445" s="142">
        <v>44538</v>
      </c>
      <c r="C2445" s="115">
        <v>-1</v>
      </c>
      <c r="D2445" s="141">
        <v>26031.700000000012</v>
      </c>
      <c r="E2445" s="141"/>
      <c r="F2445" s="141"/>
      <c r="G2445" s="141"/>
      <c r="J2445" s="141">
        <f t="shared" si="77"/>
        <v>2.95</v>
      </c>
      <c r="K2445" s="141">
        <f t="shared" si="78"/>
        <v>78515.880000000063</v>
      </c>
    </row>
    <row r="2446" spans="1:11">
      <c r="A2446" s="141">
        <v>2446</v>
      </c>
      <c r="B2446" s="142">
        <v>44539</v>
      </c>
      <c r="C2446" s="115">
        <v>0</v>
      </c>
      <c r="D2446" s="141">
        <v>26031.700000000012</v>
      </c>
      <c r="E2446" s="141"/>
      <c r="F2446" s="141"/>
      <c r="G2446" s="141"/>
      <c r="J2446" s="141">
        <f t="shared" si="77"/>
        <v>2.8</v>
      </c>
      <c r="K2446" s="141">
        <f t="shared" si="78"/>
        <v>78583.08000000006</v>
      </c>
    </row>
    <row r="2447" spans="1:11">
      <c r="A2447" s="141">
        <v>2447</v>
      </c>
      <c r="B2447" s="142">
        <v>44540</v>
      </c>
      <c r="C2447" s="115">
        <v>-0.10000000000000142</v>
      </c>
      <c r="D2447" s="141">
        <v>26031.600000000013</v>
      </c>
      <c r="E2447" s="141"/>
      <c r="F2447" s="141"/>
      <c r="G2447" s="141"/>
      <c r="J2447" s="141">
        <f t="shared" si="77"/>
        <v>2.8149999999999999</v>
      </c>
      <c r="K2447" s="141">
        <f t="shared" si="78"/>
        <v>78650.640000000058</v>
      </c>
    </row>
    <row r="2448" spans="1:11">
      <c r="A2448" s="141">
        <v>2448</v>
      </c>
      <c r="B2448" s="142">
        <v>44541</v>
      </c>
      <c r="C2448" s="115">
        <v>-0.10000000000000142</v>
      </c>
      <c r="D2448" s="141">
        <v>26031.500000000015</v>
      </c>
      <c r="E2448" s="141"/>
      <c r="F2448" s="141"/>
      <c r="G2448" s="141"/>
      <c r="J2448" s="141">
        <f t="shared" si="77"/>
        <v>2.8149999999999999</v>
      </c>
      <c r="K2448" s="141">
        <f t="shared" si="78"/>
        <v>78718.200000000055</v>
      </c>
    </row>
    <row r="2449" spans="1:11">
      <c r="A2449" s="141">
        <v>2449</v>
      </c>
      <c r="B2449" s="142">
        <v>44542</v>
      </c>
      <c r="C2449" s="115">
        <v>0.19999999999999929</v>
      </c>
      <c r="D2449" s="141">
        <v>26031.700000000015</v>
      </c>
      <c r="E2449" s="141"/>
      <c r="F2449" s="141"/>
      <c r="G2449" s="141"/>
      <c r="J2449" s="141">
        <f t="shared" si="77"/>
        <v>2.7700000000000005</v>
      </c>
      <c r="K2449" s="141">
        <f t="shared" si="78"/>
        <v>78784.680000000051</v>
      </c>
    </row>
    <row r="2450" spans="1:11">
      <c r="A2450" s="141">
        <v>2450</v>
      </c>
      <c r="B2450" s="142">
        <v>44543</v>
      </c>
      <c r="C2450" s="115">
        <v>3.5</v>
      </c>
      <c r="D2450" s="141">
        <v>26035.200000000015</v>
      </c>
      <c r="E2450" s="141"/>
      <c r="F2450" s="141"/>
      <c r="G2450" s="141"/>
      <c r="J2450" s="141">
        <f t="shared" si="77"/>
        <v>2.2749999999999999</v>
      </c>
      <c r="K2450" s="141">
        <f t="shared" si="78"/>
        <v>78839.280000000057</v>
      </c>
    </row>
    <row r="2451" spans="1:11">
      <c r="A2451" s="141">
        <v>2451</v>
      </c>
      <c r="B2451" s="142">
        <v>44544</v>
      </c>
      <c r="C2451" s="115">
        <v>5.1999999999999993</v>
      </c>
      <c r="D2451" s="141">
        <v>26040.400000000016</v>
      </c>
      <c r="E2451" s="141"/>
      <c r="F2451" s="141"/>
      <c r="G2451" s="141"/>
      <c r="J2451" s="141">
        <f t="shared" si="77"/>
        <v>2.02</v>
      </c>
      <c r="K2451" s="141">
        <f t="shared" si="78"/>
        <v>78887.760000000053</v>
      </c>
    </row>
    <row r="2452" spans="1:11">
      <c r="A2452" s="141">
        <v>2452</v>
      </c>
      <c r="B2452" s="142">
        <v>44545</v>
      </c>
      <c r="C2452" s="115">
        <v>6</v>
      </c>
      <c r="D2452" s="141">
        <v>26046.400000000016</v>
      </c>
      <c r="E2452" s="141"/>
      <c r="F2452" s="141"/>
      <c r="G2452" s="141"/>
      <c r="J2452" s="141">
        <f t="shared" si="77"/>
        <v>1.9</v>
      </c>
      <c r="K2452" s="141">
        <f t="shared" si="78"/>
        <v>78933.360000000059</v>
      </c>
    </row>
    <row r="2453" spans="1:11">
      <c r="A2453" s="141">
        <v>2453</v>
      </c>
      <c r="B2453" s="142">
        <v>44546</v>
      </c>
      <c r="C2453" s="115">
        <v>6.1000000000000014</v>
      </c>
      <c r="D2453" s="141">
        <v>26052.500000000015</v>
      </c>
      <c r="E2453" s="141"/>
      <c r="F2453" s="141"/>
      <c r="G2453" s="141"/>
      <c r="J2453" s="141">
        <f t="shared" si="77"/>
        <v>1.885</v>
      </c>
      <c r="K2453" s="141">
        <f t="shared" si="78"/>
        <v>78978.600000000064</v>
      </c>
    </row>
    <row r="2454" spans="1:11">
      <c r="A2454" s="141">
        <v>2454</v>
      </c>
      <c r="B2454" s="142">
        <v>44547</v>
      </c>
      <c r="C2454" s="115">
        <v>3.6000000000000014</v>
      </c>
      <c r="D2454" s="141">
        <v>26056.100000000013</v>
      </c>
      <c r="E2454" s="141"/>
      <c r="F2454" s="141"/>
      <c r="G2454" s="141"/>
      <c r="J2454" s="141">
        <f t="shared" si="77"/>
        <v>2.2599999999999998</v>
      </c>
      <c r="K2454" s="141">
        <f t="shared" si="78"/>
        <v>79032.840000000069</v>
      </c>
    </row>
    <row r="2455" spans="1:11">
      <c r="A2455" s="141">
        <v>2455</v>
      </c>
      <c r="B2455" s="142">
        <v>44548</v>
      </c>
      <c r="C2455" s="115">
        <v>2.6999999999999993</v>
      </c>
      <c r="D2455" s="141">
        <v>26058.800000000014</v>
      </c>
      <c r="E2455" s="141"/>
      <c r="F2455" s="141"/>
      <c r="G2455" s="141"/>
      <c r="J2455" s="141">
        <f t="shared" si="77"/>
        <v>2.3950000000000005</v>
      </c>
      <c r="K2455" s="141">
        <f t="shared" si="78"/>
        <v>79090.320000000065</v>
      </c>
    </row>
    <row r="2456" spans="1:11">
      <c r="A2456" s="141">
        <v>2456</v>
      </c>
      <c r="B2456" s="142">
        <v>44549</v>
      </c>
      <c r="C2456" s="115">
        <v>4.8999999999999986</v>
      </c>
      <c r="D2456" s="141">
        <v>26063.700000000015</v>
      </c>
      <c r="E2456" s="141"/>
      <c r="F2456" s="141"/>
      <c r="G2456" s="141"/>
      <c r="J2456" s="141">
        <f t="shared" si="77"/>
        <v>2.0650000000000004</v>
      </c>
      <c r="K2456" s="141">
        <f t="shared" si="78"/>
        <v>79139.880000000063</v>
      </c>
    </row>
    <row r="2457" spans="1:11">
      <c r="A2457" s="141">
        <v>2457</v>
      </c>
      <c r="B2457" s="142">
        <v>44550</v>
      </c>
      <c r="C2457" s="115">
        <v>1.1999999999999993</v>
      </c>
      <c r="D2457" s="141">
        <v>26064.900000000016</v>
      </c>
      <c r="E2457" s="141"/>
      <c r="F2457" s="141"/>
      <c r="G2457" s="141"/>
      <c r="J2457" s="141">
        <f t="shared" si="77"/>
        <v>2.62</v>
      </c>
      <c r="K2457" s="141">
        <f t="shared" si="78"/>
        <v>79202.760000000068</v>
      </c>
    </row>
    <row r="2458" spans="1:11">
      <c r="A2458" s="141">
        <v>2458</v>
      </c>
      <c r="B2458" s="142">
        <v>44551</v>
      </c>
      <c r="C2458" s="115">
        <v>-0.5</v>
      </c>
      <c r="D2458" s="141">
        <v>26064.400000000016</v>
      </c>
      <c r="E2458" s="141"/>
      <c r="F2458" s="141"/>
      <c r="G2458" s="141"/>
      <c r="J2458" s="141">
        <f t="shared" si="77"/>
        <v>2.875</v>
      </c>
      <c r="K2458" s="141">
        <f t="shared" si="78"/>
        <v>79271.760000000068</v>
      </c>
    </row>
    <row r="2459" spans="1:11">
      <c r="A2459" s="141">
        <v>2459</v>
      </c>
      <c r="B2459" s="142">
        <v>44552</v>
      </c>
      <c r="C2459" s="115">
        <v>-2.7999999999999972</v>
      </c>
      <c r="D2459" s="141">
        <v>26061.600000000017</v>
      </c>
      <c r="E2459" s="141"/>
      <c r="F2459" s="141"/>
      <c r="G2459" s="141"/>
      <c r="J2459" s="141">
        <f t="shared" si="77"/>
        <v>3.2199999999999998</v>
      </c>
      <c r="K2459" s="141">
        <f t="shared" si="78"/>
        <v>79349.040000000066</v>
      </c>
    </row>
    <row r="2460" spans="1:11">
      <c r="A2460" s="141">
        <v>2460</v>
      </c>
      <c r="B2460" s="142">
        <v>44553</v>
      </c>
      <c r="C2460" s="115">
        <v>-2.7999999999999972</v>
      </c>
      <c r="D2460" s="141">
        <v>26058.800000000017</v>
      </c>
      <c r="E2460" s="141"/>
      <c r="F2460" s="141"/>
      <c r="G2460" s="141"/>
      <c r="J2460" s="141">
        <f t="shared" si="77"/>
        <v>3.2199999999999998</v>
      </c>
      <c r="K2460" s="141">
        <f t="shared" si="78"/>
        <v>79426.320000000065</v>
      </c>
    </row>
    <row r="2461" spans="1:11">
      <c r="A2461" s="141">
        <v>2461</v>
      </c>
      <c r="B2461" s="142">
        <v>44554</v>
      </c>
      <c r="C2461" s="115">
        <v>6.3999999999999986</v>
      </c>
      <c r="D2461" s="141">
        <v>26065.200000000019</v>
      </c>
      <c r="E2461" s="141"/>
      <c r="F2461" s="141"/>
      <c r="G2461" s="141"/>
      <c r="J2461" s="141">
        <f t="shared" si="77"/>
        <v>1.84</v>
      </c>
      <c r="K2461" s="141">
        <f t="shared" si="78"/>
        <v>79470.480000000069</v>
      </c>
    </row>
    <row r="2462" spans="1:11">
      <c r="A2462" s="141">
        <v>2462</v>
      </c>
      <c r="B2462" s="142">
        <v>44555</v>
      </c>
      <c r="C2462" s="115">
        <v>-1.6999999999999993</v>
      </c>
      <c r="D2462" s="141">
        <v>26063.500000000018</v>
      </c>
      <c r="E2462" s="141"/>
      <c r="F2462" s="141"/>
      <c r="G2462" s="141"/>
      <c r="J2462" s="141">
        <f t="shared" si="77"/>
        <v>3.0549999999999997</v>
      </c>
      <c r="K2462" s="141">
        <f t="shared" si="78"/>
        <v>79543.800000000076</v>
      </c>
    </row>
    <row r="2463" spans="1:11">
      <c r="A2463" s="141">
        <v>2463</v>
      </c>
      <c r="B2463" s="142">
        <v>44556</v>
      </c>
      <c r="C2463" s="115">
        <v>-6.7999999999999972</v>
      </c>
      <c r="D2463" s="141">
        <v>26056.700000000019</v>
      </c>
      <c r="E2463" s="141"/>
      <c r="F2463" s="141"/>
      <c r="G2463" s="141"/>
      <c r="J2463" s="141">
        <f t="shared" si="77"/>
        <v>3.82</v>
      </c>
      <c r="K2463" s="141">
        <f t="shared" si="78"/>
        <v>79635.480000000069</v>
      </c>
    </row>
    <row r="2464" spans="1:11">
      <c r="A2464" s="141">
        <v>2464</v>
      </c>
      <c r="B2464" s="142">
        <v>44557</v>
      </c>
      <c r="C2464" s="115">
        <v>-2.2999999999999972</v>
      </c>
      <c r="D2464" s="141">
        <v>26054.40000000002</v>
      </c>
      <c r="E2464" s="141"/>
      <c r="F2464" s="141"/>
      <c r="G2464" s="141"/>
      <c r="J2464" s="141">
        <f t="shared" si="77"/>
        <v>3.145</v>
      </c>
      <c r="K2464" s="141">
        <f t="shared" si="78"/>
        <v>79710.960000000065</v>
      </c>
    </row>
    <row r="2465" spans="1:11">
      <c r="A2465" s="141">
        <v>2465</v>
      </c>
      <c r="B2465" s="142">
        <v>44558</v>
      </c>
      <c r="C2465" s="115">
        <v>-0.10000000000000142</v>
      </c>
      <c r="D2465" s="141">
        <v>26054.300000000021</v>
      </c>
      <c r="E2465" s="141"/>
      <c r="F2465" s="141"/>
      <c r="G2465" s="141"/>
      <c r="J2465" s="141">
        <f t="shared" si="77"/>
        <v>2.8149999999999999</v>
      </c>
      <c r="K2465" s="141">
        <f t="shared" si="78"/>
        <v>79778.520000000062</v>
      </c>
    </row>
    <row r="2466" spans="1:11">
      <c r="A2466" s="141">
        <v>2466</v>
      </c>
      <c r="B2466" s="142">
        <v>44559</v>
      </c>
      <c r="C2466" s="115">
        <v>2.8999999999999986</v>
      </c>
      <c r="D2466" s="141">
        <v>26057.200000000023</v>
      </c>
      <c r="E2466" s="141"/>
      <c r="F2466" s="141"/>
      <c r="G2466" s="141"/>
      <c r="J2466" s="141">
        <f t="shared" si="77"/>
        <v>2.3650000000000002</v>
      </c>
      <c r="K2466" s="141">
        <f t="shared" si="78"/>
        <v>79835.280000000057</v>
      </c>
    </row>
    <row r="2467" spans="1:11">
      <c r="A2467" s="141">
        <v>2467</v>
      </c>
      <c r="B2467" s="142">
        <v>44560</v>
      </c>
      <c r="C2467" s="115">
        <v>9.1999999999999993</v>
      </c>
      <c r="D2467" s="141">
        <v>26066.400000000023</v>
      </c>
      <c r="E2467" s="141"/>
      <c r="F2467" s="141"/>
      <c r="G2467" s="141"/>
      <c r="J2467" s="141">
        <f t="shared" si="77"/>
        <v>1.4200000000000002</v>
      </c>
      <c r="K2467" s="141">
        <f t="shared" si="78"/>
        <v>79869.360000000059</v>
      </c>
    </row>
    <row r="2468" spans="1:11">
      <c r="A2468" s="141">
        <v>2468</v>
      </c>
      <c r="B2468" s="142">
        <v>44561</v>
      </c>
      <c r="C2468" s="115">
        <v>11.8</v>
      </c>
      <c r="D2468" s="141">
        <v>26078.200000000023</v>
      </c>
      <c r="E2468" s="141"/>
      <c r="F2468" s="141"/>
      <c r="G2468" s="141"/>
      <c r="J2468" s="141">
        <f t="shared" si="77"/>
        <v>1.0299999999999998</v>
      </c>
      <c r="K2468" s="141">
        <f t="shared" si="78"/>
        <v>79894.08000000006</v>
      </c>
    </row>
    <row r="2469" spans="1:11">
      <c r="A2469" s="141">
        <v>2469</v>
      </c>
      <c r="B2469" s="142">
        <v>44562</v>
      </c>
      <c r="C2469" s="115">
        <v>10.5</v>
      </c>
      <c r="D2469" s="141">
        <v>26088.700000000023</v>
      </c>
      <c r="E2469" s="141"/>
      <c r="F2469" s="141"/>
      <c r="G2469" s="141"/>
      <c r="J2469" s="141">
        <f t="shared" si="77"/>
        <v>1.2250000000000001</v>
      </c>
      <c r="K2469" s="141">
        <f t="shared" si="78"/>
        <v>79923.480000000054</v>
      </c>
    </row>
    <row r="2470" spans="1:11">
      <c r="A2470" s="141">
        <v>2470</v>
      </c>
      <c r="B2470" s="142">
        <v>44563</v>
      </c>
      <c r="C2470" s="115">
        <v>7.1000000000000014</v>
      </c>
      <c r="D2470" s="141">
        <v>26095.800000000021</v>
      </c>
      <c r="E2470" s="141"/>
      <c r="F2470" s="141"/>
      <c r="G2470" s="141"/>
      <c r="J2470" s="141">
        <f t="shared" si="77"/>
        <v>1.7349999999999999</v>
      </c>
      <c r="K2470" s="141">
        <f t="shared" si="78"/>
        <v>79965.120000000054</v>
      </c>
    </row>
    <row r="2471" spans="1:11">
      <c r="A2471" s="141">
        <v>2471</v>
      </c>
      <c r="B2471" s="142">
        <v>44564</v>
      </c>
      <c r="C2471" s="115">
        <v>8.8999999999999986</v>
      </c>
      <c r="D2471" s="141">
        <v>26104.700000000023</v>
      </c>
      <c r="E2471" s="141"/>
      <c r="F2471" s="141"/>
      <c r="G2471" s="141"/>
      <c r="J2471" s="141">
        <f t="shared" si="77"/>
        <v>1.4650000000000001</v>
      </c>
      <c r="K2471" s="141">
        <f t="shared" si="78"/>
        <v>80000.280000000057</v>
      </c>
    </row>
    <row r="2472" spans="1:11">
      <c r="A2472" s="141">
        <v>2472</v>
      </c>
      <c r="B2472" s="142">
        <v>44565</v>
      </c>
      <c r="C2472" s="115">
        <v>7.8000000000000007</v>
      </c>
      <c r="D2472" s="141">
        <v>26112.500000000022</v>
      </c>
      <c r="E2472" s="141"/>
      <c r="F2472" s="141"/>
      <c r="G2472" s="141"/>
      <c r="J2472" s="141">
        <f t="shared" si="77"/>
        <v>1.63</v>
      </c>
      <c r="K2472" s="141">
        <f t="shared" si="78"/>
        <v>80039.400000000052</v>
      </c>
    </row>
    <row r="2473" spans="1:11">
      <c r="A2473" s="141">
        <v>2473</v>
      </c>
      <c r="B2473" s="142">
        <v>44566</v>
      </c>
      <c r="C2473" s="141">
        <v>3.5</v>
      </c>
      <c r="D2473" s="141">
        <v>26116.000000000022</v>
      </c>
      <c r="E2473" s="141"/>
      <c r="F2473" s="141"/>
      <c r="G2473" s="141"/>
      <c r="J2473" s="141">
        <f t="shared" si="77"/>
        <v>2.2749999999999999</v>
      </c>
      <c r="K2473" s="141">
        <f t="shared" si="78"/>
        <v>80094.000000000058</v>
      </c>
    </row>
    <row r="2474" spans="1:11">
      <c r="A2474" s="141">
        <v>2474</v>
      </c>
      <c r="B2474" s="142">
        <v>44567</v>
      </c>
      <c r="C2474" s="141">
        <v>0.39999999999999858</v>
      </c>
      <c r="D2474" s="141">
        <v>26116.400000000023</v>
      </c>
      <c r="E2474" s="141"/>
      <c r="F2474" s="141"/>
      <c r="G2474" s="141"/>
      <c r="J2474" s="141">
        <f t="shared" si="77"/>
        <v>2.74</v>
      </c>
      <c r="K2474" s="141">
        <f t="shared" si="78"/>
        <v>80159.760000000053</v>
      </c>
    </row>
    <row r="2475" spans="1:11">
      <c r="A2475" s="141">
        <v>2475</v>
      </c>
      <c r="B2475" s="142">
        <v>44568</v>
      </c>
      <c r="C2475" s="141">
        <v>-1.5</v>
      </c>
      <c r="D2475" s="141">
        <v>26114.900000000023</v>
      </c>
      <c r="E2475" s="141"/>
      <c r="F2475" s="141"/>
      <c r="G2475" s="141"/>
      <c r="J2475" s="141">
        <f t="shared" si="77"/>
        <v>3.0249999999999999</v>
      </c>
      <c r="K2475" s="141">
        <f t="shared" si="78"/>
        <v>80232.360000000059</v>
      </c>
    </row>
    <row r="2476" spans="1:11">
      <c r="A2476" s="141">
        <v>2476</v>
      </c>
      <c r="B2476" s="142">
        <v>44569</v>
      </c>
      <c r="C2476" s="141">
        <v>0.60000000000000142</v>
      </c>
      <c r="D2476" s="141">
        <v>26115.500000000022</v>
      </c>
      <c r="E2476" s="141"/>
      <c r="F2476" s="141"/>
      <c r="G2476" s="141"/>
      <c r="J2476" s="141">
        <f t="shared" si="77"/>
        <v>2.71</v>
      </c>
      <c r="K2476" s="141">
        <f t="shared" si="78"/>
        <v>80297.400000000052</v>
      </c>
    </row>
    <row r="2477" spans="1:11">
      <c r="A2477" s="141">
        <v>2477</v>
      </c>
      <c r="B2477" s="142">
        <v>44570</v>
      </c>
      <c r="C2477" s="141">
        <v>0.5</v>
      </c>
      <c r="D2477" s="141">
        <v>26116.000000000022</v>
      </c>
      <c r="E2477" s="141"/>
      <c r="F2477" s="141"/>
      <c r="G2477" s="141"/>
      <c r="J2477" s="141">
        <f t="shared" si="77"/>
        <v>2.7250000000000001</v>
      </c>
      <c r="K2477" s="141">
        <f t="shared" si="78"/>
        <v>80362.800000000047</v>
      </c>
    </row>
    <row r="2478" spans="1:11">
      <c r="A2478" s="141">
        <v>2478</v>
      </c>
      <c r="B2478" s="142">
        <v>44571</v>
      </c>
      <c r="C2478" s="141">
        <v>2</v>
      </c>
      <c r="D2478" s="141">
        <v>26118.000000000022</v>
      </c>
      <c r="E2478" s="141"/>
      <c r="F2478" s="141"/>
      <c r="G2478" s="141"/>
      <c r="J2478" s="141">
        <f t="shared" si="77"/>
        <v>2.5</v>
      </c>
      <c r="K2478" s="141">
        <f t="shared" si="78"/>
        <v>80422.800000000047</v>
      </c>
    </row>
    <row r="2479" spans="1:11">
      <c r="A2479" s="141">
        <v>2479</v>
      </c>
      <c r="B2479" s="142">
        <v>44572</v>
      </c>
      <c r="C2479" s="141">
        <v>-2.3999999999999986</v>
      </c>
      <c r="D2479" s="141">
        <v>26115.60000000002</v>
      </c>
      <c r="E2479" s="141"/>
      <c r="F2479" s="141"/>
      <c r="G2479" s="141"/>
      <c r="J2479" s="141">
        <f t="shared" si="77"/>
        <v>3.1599999999999997</v>
      </c>
      <c r="K2479" s="141">
        <f t="shared" si="78"/>
        <v>80498.640000000043</v>
      </c>
    </row>
    <row r="2480" spans="1:11">
      <c r="A2480" s="141">
        <v>2480</v>
      </c>
      <c r="B2480" s="142">
        <v>44573</v>
      </c>
      <c r="C2480" s="141">
        <v>-1.6999999999999993</v>
      </c>
      <c r="D2480" s="141">
        <v>26113.90000000002</v>
      </c>
      <c r="E2480" s="141"/>
      <c r="F2480" s="141"/>
      <c r="G2480" s="141"/>
      <c r="J2480" s="141">
        <f t="shared" si="77"/>
        <v>3.0549999999999997</v>
      </c>
      <c r="K2480" s="141">
        <f t="shared" si="78"/>
        <v>80571.96000000005</v>
      </c>
    </row>
    <row r="2481" spans="1:11">
      <c r="A2481" s="141">
        <v>2481</v>
      </c>
      <c r="B2481" s="142">
        <v>44574</v>
      </c>
      <c r="C2481" s="141">
        <v>0.80000000000000071</v>
      </c>
      <c r="D2481" s="141">
        <v>26114.700000000019</v>
      </c>
      <c r="E2481" s="141"/>
      <c r="F2481" s="141"/>
      <c r="G2481" s="141"/>
      <c r="J2481" s="141">
        <f t="shared" si="77"/>
        <v>2.6799999999999997</v>
      </c>
      <c r="K2481" s="141">
        <f t="shared" si="78"/>
        <v>80636.280000000057</v>
      </c>
    </row>
    <row r="2482" spans="1:11">
      <c r="A2482" s="141">
        <v>2482</v>
      </c>
      <c r="B2482" s="142">
        <v>44575</v>
      </c>
      <c r="C2482" s="141">
        <v>2.6999999999999993</v>
      </c>
      <c r="D2482" s="141">
        <v>26117.40000000002</v>
      </c>
      <c r="E2482" s="141"/>
      <c r="F2482" s="141"/>
      <c r="G2482" s="141"/>
      <c r="J2482" s="141">
        <f t="shared" si="77"/>
        <v>2.3950000000000005</v>
      </c>
      <c r="K2482" s="141">
        <f t="shared" si="78"/>
        <v>80693.760000000053</v>
      </c>
    </row>
    <row r="2483" spans="1:11">
      <c r="A2483" s="141">
        <v>2483</v>
      </c>
      <c r="B2483" s="142">
        <v>44576</v>
      </c>
      <c r="C2483" s="141">
        <v>2.1000000000000014</v>
      </c>
      <c r="D2483" s="141">
        <v>26119.500000000018</v>
      </c>
      <c r="E2483" s="141"/>
      <c r="F2483" s="141"/>
      <c r="G2483" s="141"/>
      <c r="J2483" s="141">
        <f t="shared" si="77"/>
        <v>2.4849999999999999</v>
      </c>
      <c r="K2483" s="141">
        <f t="shared" si="78"/>
        <v>80753.400000000052</v>
      </c>
    </row>
    <row r="2484" spans="1:11">
      <c r="A2484" s="141">
        <v>2484</v>
      </c>
      <c r="B2484" s="142">
        <v>44577</v>
      </c>
      <c r="C2484" s="141">
        <v>-1.3000000000000007</v>
      </c>
      <c r="D2484" s="141">
        <v>26118.200000000019</v>
      </c>
      <c r="E2484" s="141"/>
      <c r="F2484" s="141"/>
      <c r="G2484" s="141"/>
      <c r="J2484" s="141">
        <f t="shared" si="77"/>
        <v>2.9950000000000001</v>
      </c>
      <c r="K2484" s="141">
        <f t="shared" si="78"/>
        <v>80825.280000000057</v>
      </c>
    </row>
    <row r="2485" spans="1:11">
      <c r="A2485" s="141">
        <v>2485</v>
      </c>
      <c r="B2485" s="142">
        <v>44578</v>
      </c>
      <c r="C2485" s="141">
        <v>3.1000000000000014</v>
      </c>
      <c r="D2485" s="141">
        <v>26121.300000000017</v>
      </c>
      <c r="E2485" s="141"/>
      <c r="F2485" s="141"/>
      <c r="G2485" s="141"/>
      <c r="J2485" s="141">
        <f t="shared" si="77"/>
        <v>2.335</v>
      </c>
      <c r="K2485" s="141">
        <f t="shared" si="78"/>
        <v>80881.320000000051</v>
      </c>
    </row>
    <row r="2486" spans="1:11">
      <c r="A2486" s="141">
        <v>2486</v>
      </c>
      <c r="B2486" s="142">
        <v>44579</v>
      </c>
      <c r="C2486" s="141">
        <v>0.69999999999999929</v>
      </c>
      <c r="D2486" s="141">
        <v>26122.000000000018</v>
      </c>
      <c r="E2486" s="141"/>
      <c r="F2486" s="141"/>
      <c r="G2486" s="141"/>
      <c r="J2486" s="141">
        <f t="shared" si="77"/>
        <v>2.6950000000000003</v>
      </c>
      <c r="K2486" s="141">
        <f t="shared" si="78"/>
        <v>80946.000000000044</v>
      </c>
    </row>
    <row r="2487" spans="1:11">
      <c r="A2487" s="141">
        <v>2487</v>
      </c>
      <c r="B2487" s="142">
        <v>44580</v>
      </c>
      <c r="C2487" s="141">
        <v>1.3999999999999986</v>
      </c>
      <c r="D2487" s="141">
        <v>26123.40000000002</v>
      </c>
      <c r="E2487" s="141"/>
      <c r="F2487" s="141"/>
      <c r="G2487" s="141"/>
      <c r="J2487" s="141">
        <f t="shared" si="77"/>
        <v>2.5900000000000003</v>
      </c>
      <c r="K2487" s="141">
        <f t="shared" si="78"/>
        <v>81008.160000000047</v>
      </c>
    </row>
    <row r="2488" spans="1:11">
      <c r="A2488" s="141">
        <v>2488</v>
      </c>
      <c r="B2488" s="142">
        <v>44581</v>
      </c>
      <c r="C2488" s="141">
        <v>1.1999999999999993</v>
      </c>
      <c r="D2488" s="141">
        <v>26124.60000000002</v>
      </c>
      <c r="E2488" s="141"/>
      <c r="F2488" s="141"/>
      <c r="G2488" s="141"/>
      <c r="J2488" s="141">
        <f t="shared" si="77"/>
        <v>2.62</v>
      </c>
      <c r="K2488" s="141">
        <f t="shared" si="78"/>
        <v>81071.040000000052</v>
      </c>
    </row>
    <row r="2489" spans="1:11">
      <c r="A2489" s="141">
        <v>2489</v>
      </c>
      <c r="B2489" s="142">
        <v>44582</v>
      </c>
      <c r="C2489" s="141">
        <v>-1.5</v>
      </c>
      <c r="D2489" s="141">
        <v>26123.10000000002</v>
      </c>
      <c r="E2489" s="141"/>
      <c r="F2489" s="141"/>
      <c r="G2489" s="141"/>
      <c r="J2489" s="141">
        <f t="shared" si="77"/>
        <v>3.0249999999999999</v>
      </c>
      <c r="K2489" s="141">
        <f t="shared" si="78"/>
        <v>81143.640000000058</v>
      </c>
    </row>
    <row r="2490" spans="1:11">
      <c r="A2490" s="141">
        <v>2490</v>
      </c>
      <c r="B2490" s="142">
        <v>44583</v>
      </c>
      <c r="C2490" s="141">
        <v>1.6000000000000014</v>
      </c>
      <c r="D2490" s="141">
        <v>26124.700000000019</v>
      </c>
      <c r="E2490" s="141"/>
      <c r="F2490" s="141"/>
      <c r="G2490" s="141"/>
      <c r="J2490" s="141">
        <f t="shared" si="77"/>
        <v>2.56</v>
      </c>
      <c r="K2490" s="141">
        <f t="shared" si="78"/>
        <v>81205.08000000006</v>
      </c>
    </row>
    <row r="2491" spans="1:11">
      <c r="A2491" s="141">
        <v>2491</v>
      </c>
      <c r="B2491" s="142">
        <v>44584</v>
      </c>
      <c r="C2491" s="141">
        <v>3.3999999999999986</v>
      </c>
      <c r="D2491" s="141">
        <v>26128.10000000002</v>
      </c>
      <c r="E2491" s="141"/>
      <c r="F2491" s="141"/>
      <c r="G2491" s="141"/>
      <c r="J2491" s="141">
        <f t="shared" si="77"/>
        <v>2.29</v>
      </c>
      <c r="K2491" s="141">
        <f t="shared" si="78"/>
        <v>81260.040000000066</v>
      </c>
    </row>
    <row r="2492" spans="1:11">
      <c r="A2492" s="141">
        <v>2492</v>
      </c>
      <c r="B2492" s="142">
        <v>44585</v>
      </c>
      <c r="C2492" s="141">
        <v>3</v>
      </c>
      <c r="D2492" s="141">
        <v>26131.10000000002</v>
      </c>
      <c r="E2492" s="141"/>
      <c r="F2492" s="141"/>
      <c r="G2492" s="141"/>
      <c r="J2492" s="141">
        <f t="shared" si="77"/>
        <v>2.35</v>
      </c>
      <c r="K2492" s="141">
        <f t="shared" si="78"/>
        <v>81316.440000000061</v>
      </c>
    </row>
    <row r="2493" spans="1:11">
      <c r="A2493" s="141">
        <v>2493</v>
      </c>
      <c r="B2493" s="142">
        <v>44586</v>
      </c>
      <c r="C2493" s="141">
        <v>2.5</v>
      </c>
      <c r="D2493" s="141">
        <v>26133.60000000002</v>
      </c>
      <c r="E2493" s="141"/>
      <c r="F2493" s="141"/>
      <c r="G2493" s="141"/>
      <c r="J2493" s="141">
        <f t="shared" si="77"/>
        <v>2.4249999999999998</v>
      </c>
      <c r="K2493" s="141">
        <f t="shared" si="78"/>
        <v>81374.640000000058</v>
      </c>
    </row>
    <row r="2494" spans="1:11">
      <c r="A2494" s="141">
        <v>2494</v>
      </c>
      <c r="B2494" s="142">
        <v>44587</v>
      </c>
      <c r="C2494" s="141">
        <v>1.1999999999999993</v>
      </c>
      <c r="D2494" s="141">
        <v>26134.800000000021</v>
      </c>
      <c r="E2494" s="141"/>
      <c r="F2494" s="141"/>
      <c r="G2494" s="141"/>
      <c r="J2494" s="141">
        <f t="shared" si="77"/>
        <v>2.62</v>
      </c>
      <c r="K2494" s="141">
        <f t="shared" si="78"/>
        <v>81437.520000000062</v>
      </c>
    </row>
    <row r="2495" spans="1:11">
      <c r="A2495" s="141">
        <v>2495</v>
      </c>
      <c r="B2495" s="142">
        <v>44588</v>
      </c>
      <c r="C2495" s="141">
        <v>1.3000000000000007</v>
      </c>
      <c r="D2495" s="141">
        <v>26136.10000000002</v>
      </c>
      <c r="E2495" s="141"/>
      <c r="F2495" s="141"/>
      <c r="G2495" s="141"/>
      <c r="J2495" s="141">
        <f t="shared" si="77"/>
        <v>2.6049999999999995</v>
      </c>
      <c r="K2495" s="141">
        <f t="shared" si="78"/>
        <v>81500.040000000066</v>
      </c>
    </row>
    <row r="2496" spans="1:11">
      <c r="A2496" s="141">
        <v>2496</v>
      </c>
      <c r="B2496" s="142">
        <v>44589</v>
      </c>
      <c r="C2496" s="141">
        <v>3.3999999999999986</v>
      </c>
      <c r="D2496" s="141">
        <v>26139.500000000022</v>
      </c>
      <c r="E2496" s="141"/>
      <c r="F2496" s="141"/>
      <c r="G2496" s="141"/>
      <c r="J2496" s="141">
        <f t="shared" si="77"/>
        <v>2.29</v>
      </c>
      <c r="K2496" s="141">
        <f t="shared" si="78"/>
        <v>81555.000000000073</v>
      </c>
    </row>
    <row r="2497" spans="1:11">
      <c r="A2497" s="141">
        <v>2497</v>
      </c>
      <c r="B2497" s="142">
        <v>44590</v>
      </c>
      <c r="C2497" s="141">
        <v>3.5</v>
      </c>
      <c r="D2497" s="141">
        <v>26143.000000000022</v>
      </c>
      <c r="E2497" s="141"/>
      <c r="F2497" s="141"/>
      <c r="G2497" s="141"/>
      <c r="J2497" s="141">
        <f t="shared" si="77"/>
        <v>2.2749999999999999</v>
      </c>
      <c r="K2497" s="141">
        <f t="shared" si="78"/>
        <v>81609.600000000079</v>
      </c>
    </row>
    <row r="2498" spans="1:11">
      <c r="A2498" s="141">
        <v>2498</v>
      </c>
      <c r="B2498" s="142">
        <v>44591</v>
      </c>
      <c r="C2498" s="141">
        <v>5</v>
      </c>
      <c r="D2498" s="141">
        <v>26148.000000000022</v>
      </c>
      <c r="E2498" s="141"/>
      <c r="F2498" s="141"/>
      <c r="G2498" s="141"/>
      <c r="J2498" s="141">
        <f t="shared" si="77"/>
        <v>2.0499999999999998</v>
      </c>
      <c r="K2498" s="141">
        <f t="shared" si="78"/>
        <v>81658.800000000076</v>
      </c>
    </row>
    <row r="2499" spans="1:11">
      <c r="A2499" s="141">
        <v>2499</v>
      </c>
      <c r="B2499" s="142">
        <v>44592</v>
      </c>
      <c r="C2499" s="141">
        <v>2.1000000000000014</v>
      </c>
      <c r="D2499" s="141">
        <v>26150.10000000002</v>
      </c>
      <c r="E2499" s="141"/>
      <c r="F2499" s="141"/>
      <c r="G2499" s="141"/>
      <c r="J2499" s="141">
        <f t="shared" si="77"/>
        <v>2.4849999999999999</v>
      </c>
      <c r="K2499" s="141">
        <f t="shared" si="78"/>
        <v>81718.440000000075</v>
      </c>
    </row>
    <row r="2500" spans="1:11">
      <c r="A2500" s="141">
        <v>2500</v>
      </c>
      <c r="B2500" s="142">
        <v>44593</v>
      </c>
      <c r="C2500" s="141">
        <v>1.5</v>
      </c>
      <c r="D2500" s="141">
        <v>26151.60000000002</v>
      </c>
      <c r="E2500" s="141"/>
      <c r="F2500" s="141"/>
      <c r="G2500" s="141"/>
      <c r="J2500" s="141">
        <f t="shared" si="77"/>
        <v>2.5750000000000002</v>
      </c>
      <c r="K2500" s="141">
        <f t="shared" si="78"/>
        <v>81780.240000000078</v>
      </c>
    </row>
    <row r="2501" spans="1:11">
      <c r="A2501" s="141">
        <v>2501</v>
      </c>
      <c r="B2501" s="142">
        <v>44594</v>
      </c>
      <c r="C2501" s="141">
        <v>4.1000000000000014</v>
      </c>
      <c r="D2501" s="141">
        <v>26155.700000000019</v>
      </c>
      <c r="E2501" s="141"/>
      <c r="F2501" s="141"/>
      <c r="G2501" s="141"/>
      <c r="J2501" s="141">
        <f t="shared" si="77"/>
        <v>2.1849999999999996</v>
      </c>
      <c r="K2501" s="141">
        <f t="shared" si="78"/>
        <v>81832.68000000008</v>
      </c>
    </row>
    <row r="2502" spans="1:11">
      <c r="A2502" s="141">
        <v>2502</v>
      </c>
      <c r="B2502" s="142">
        <v>44595</v>
      </c>
      <c r="C2502" s="141">
        <v>3.6000000000000014</v>
      </c>
      <c r="D2502" s="141">
        <v>26159.300000000017</v>
      </c>
      <c r="E2502" s="141"/>
      <c r="F2502" s="141"/>
      <c r="G2502" s="141"/>
      <c r="J2502" s="141">
        <f t="shared" si="77"/>
        <v>2.2599999999999998</v>
      </c>
      <c r="K2502" s="141">
        <f t="shared" si="78"/>
        <v>81886.920000000086</v>
      </c>
    </row>
    <row r="2503" spans="1:11">
      <c r="A2503" s="141">
        <v>2503</v>
      </c>
      <c r="B2503" s="142">
        <v>44596</v>
      </c>
      <c r="C2503" s="141">
        <v>5.8999999999999986</v>
      </c>
      <c r="D2503" s="141">
        <v>26165.200000000019</v>
      </c>
      <c r="E2503" s="141"/>
      <c r="F2503" s="141"/>
      <c r="G2503" s="141"/>
      <c r="J2503" s="141">
        <f t="shared" ref="J2503:J2566" si="79">J$1+(IF(J$3-$C2503&gt;0,J$3-$C2503,0)*J$2/30)</f>
        <v>1.915</v>
      </c>
      <c r="K2503" s="141">
        <f t="shared" ref="K2503:K2566" si="80">K2502+J2503*24</f>
        <v>81932.880000000092</v>
      </c>
    </row>
    <row r="2504" spans="1:11">
      <c r="A2504" s="141">
        <v>2504</v>
      </c>
      <c r="B2504" s="142">
        <v>44597</v>
      </c>
      <c r="C2504" s="141">
        <v>3.6000000000000014</v>
      </c>
      <c r="D2504" s="141">
        <v>26168.800000000017</v>
      </c>
      <c r="E2504" s="141"/>
      <c r="F2504" s="141"/>
      <c r="G2504" s="141"/>
      <c r="J2504" s="141">
        <f t="shared" si="79"/>
        <v>2.2599999999999998</v>
      </c>
      <c r="K2504" s="141">
        <f t="shared" si="80"/>
        <v>81987.120000000097</v>
      </c>
    </row>
    <row r="2505" spans="1:11">
      <c r="A2505" s="141">
        <v>2505</v>
      </c>
      <c r="B2505" s="142">
        <v>44598</v>
      </c>
      <c r="C2505" s="141">
        <v>5.1000000000000014</v>
      </c>
      <c r="D2505" s="141">
        <v>26173.900000000016</v>
      </c>
      <c r="E2505" s="141"/>
      <c r="F2505" s="141"/>
      <c r="G2505" s="141"/>
      <c r="J2505" s="141">
        <f t="shared" si="79"/>
        <v>2.0350000000000001</v>
      </c>
      <c r="K2505" s="141">
        <f t="shared" si="80"/>
        <v>82035.960000000094</v>
      </c>
    </row>
    <row r="2506" spans="1:11">
      <c r="A2506" s="141">
        <v>2506</v>
      </c>
      <c r="B2506" s="142">
        <v>44599</v>
      </c>
      <c r="C2506" s="141">
        <v>3.5</v>
      </c>
      <c r="D2506" s="141">
        <v>26177.400000000016</v>
      </c>
      <c r="E2506" s="141"/>
      <c r="F2506" s="141"/>
      <c r="G2506" s="141"/>
      <c r="J2506" s="141">
        <f t="shared" si="79"/>
        <v>2.2749999999999999</v>
      </c>
      <c r="K2506" s="141">
        <f t="shared" si="80"/>
        <v>82090.5600000001</v>
      </c>
    </row>
    <row r="2507" spans="1:11">
      <c r="A2507" s="141">
        <v>2507</v>
      </c>
      <c r="B2507" s="142">
        <v>44600</v>
      </c>
      <c r="C2507" s="141">
        <v>4.8000000000000007</v>
      </c>
      <c r="D2507" s="141">
        <v>26182.200000000015</v>
      </c>
      <c r="E2507" s="141"/>
      <c r="F2507" s="141"/>
      <c r="G2507" s="141"/>
      <c r="J2507" s="141">
        <f t="shared" si="79"/>
        <v>2.08</v>
      </c>
      <c r="K2507" s="141">
        <f t="shared" si="80"/>
        <v>82140.480000000098</v>
      </c>
    </row>
    <row r="2508" spans="1:11">
      <c r="A2508" s="141">
        <v>2508</v>
      </c>
      <c r="B2508" s="142">
        <v>44601</v>
      </c>
      <c r="C2508" s="141">
        <v>7.1000000000000014</v>
      </c>
      <c r="D2508" s="141">
        <v>26189.300000000014</v>
      </c>
      <c r="E2508" s="141"/>
      <c r="F2508" s="141"/>
      <c r="G2508" s="141"/>
      <c r="J2508" s="141">
        <f t="shared" si="79"/>
        <v>1.7349999999999999</v>
      </c>
      <c r="K2508" s="141">
        <f t="shared" si="80"/>
        <v>82182.120000000097</v>
      </c>
    </row>
    <row r="2509" spans="1:11">
      <c r="A2509" s="141">
        <v>2509</v>
      </c>
      <c r="B2509" s="142">
        <v>44602</v>
      </c>
      <c r="C2509" s="141">
        <v>7.3999999999999986</v>
      </c>
      <c r="D2509" s="141">
        <v>26196.700000000015</v>
      </c>
      <c r="E2509" s="141"/>
      <c r="F2509" s="141"/>
      <c r="G2509" s="141"/>
      <c r="J2509" s="141">
        <f t="shared" si="79"/>
        <v>1.6900000000000002</v>
      </c>
      <c r="K2509" s="141">
        <f t="shared" si="80"/>
        <v>82222.680000000095</v>
      </c>
    </row>
    <row r="2510" spans="1:11">
      <c r="A2510" s="141">
        <v>2510</v>
      </c>
      <c r="B2510" s="142">
        <v>44603</v>
      </c>
      <c r="C2510" s="141">
        <v>4.6999999999999993</v>
      </c>
      <c r="D2510" s="141">
        <v>26201.400000000016</v>
      </c>
      <c r="E2510" s="141"/>
      <c r="F2510" s="141"/>
      <c r="G2510" s="141"/>
      <c r="J2510" s="141">
        <f t="shared" si="79"/>
        <v>2.0949999999999998</v>
      </c>
      <c r="K2510" s="141">
        <f t="shared" si="80"/>
        <v>82272.960000000094</v>
      </c>
    </row>
    <row r="2511" spans="1:11">
      <c r="A2511" s="141">
        <v>2511</v>
      </c>
      <c r="B2511" s="142">
        <v>44604</v>
      </c>
      <c r="C2511" s="141">
        <v>1.3999999999999986</v>
      </c>
      <c r="D2511" s="141">
        <v>26202.800000000017</v>
      </c>
      <c r="E2511" s="141"/>
      <c r="F2511" s="141"/>
      <c r="G2511" s="141"/>
      <c r="J2511" s="141">
        <f t="shared" si="79"/>
        <v>2.5900000000000003</v>
      </c>
      <c r="K2511" s="141">
        <f t="shared" si="80"/>
        <v>82335.120000000097</v>
      </c>
    </row>
    <row r="2512" spans="1:11">
      <c r="A2512" s="141">
        <v>2512</v>
      </c>
      <c r="B2512" s="142">
        <v>44605</v>
      </c>
      <c r="C2512" s="141">
        <v>1.8999999999999986</v>
      </c>
      <c r="D2512" s="141">
        <v>26204.700000000019</v>
      </c>
      <c r="E2512" s="141"/>
      <c r="F2512" s="141"/>
      <c r="G2512" s="141"/>
      <c r="J2512" s="141">
        <f t="shared" si="79"/>
        <v>2.5150000000000001</v>
      </c>
      <c r="K2512" s="141">
        <f t="shared" si="80"/>
        <v>82395.480000000098</v>
      </c>
    </row>
    <row r="2513" spans="1:11">
      <c r="A2513" s="141">
        <v>2513</v>
      </c>
      <c r="B2513" s="142">
        <v>44606</v>
      </c>
      <c r="C2513" s="141">
        <v>2.1999999999999993</v>
      </c>
      <c r="D2513" s="141">
        <v>26206.90000000002</v>
      </c>
      <c r="E2513" s="141"/>
      <c r="F2513" s="141"/>
      <c r="G2513" s="141"/>
      <c r="J2513" s="141">
        <f t="shared" si="79"/>
        <v>2.4700000000000002</v>
      </c>
      <c r="K2513" s="141">
        <f t="shared" si="80"/>
        <v>82454.760000000097</v>
      </c>
    </row>
    <row r="2514" spans="1:11">
      <c r="A2514" s="141">
        <v>2514</v>
      </c>
      <c r="B2514" s="142">
        <v>44607</v>
      </c>
      <c r="C2514" s="141">
        <v>4.8000000000000007</v>
      </c>
      <c r="D2514" s="141">
        <v>26211.700000000019</v>
      </c>
      <c r="E2514" s="141"/>
      <c r="F2514" s="141"/>
      <c r="G2514" s="141"/>
      <c r="J2514" s="141">
        <f t="shared" si="79"/>
        <v>2.08</v>
      </c>
      <c r="K2514" s="141">
        <f t="shared" si="80"/>
        <v>82504.680000000095</v>
      </c>
    </row>
    <row r="2515" spans="1:11">
      <c r="A2515" s="141">
        <v>2515</v>
      </c>
      <c r="B2515" s="142">
        <v>44608</v>
      </c>
      <c r="C2515" s="141">
        <v>6.1999999999999993</v>
      </c>
      <c r="D2515" s="141">
        <v>26217.90000000002</v>
      </c>
      <c r="E2515" s="141"/>
      <c r="F2515" s="141"/>
      <c r="G2515" s="141"/>
      <c r="J2515" s="141">
        <f t="shared" si="79"/>
        <v>1.87</v>
      </c>
      <c r="K2515" s="141">
        <f t="shared" si="80"/>
        <v>82549.5600000001</v>
      </c>
    </row>
    <row r="2516" spans="1:11">
      <c r="A2516" s="141">
        <v>2516</v>
      </c>
      <c r="B2516" s="142">
        <v>44609</v>
      </c>
      <c r="C2516" s="141">
        <v>8.6999999999999993</v>
      </c>
      <c r="D2516" s="141">
        <v>26226.60000000002</v>
      </c>
      <c r="E2516" s="141"/>
      <c r="F2516" s="141"/>
      <c r="G2516" s="141"/>
      <c r="J2516" s="141">
        <f t="shared" si="79"/>
        <v>1.4950000000000001</v>
      </c>
      <c r="K2516" s="141">
        <f t="shared" si="80"/>
        <v>82585.440000000104</v>
      </c>
    </row>
    <row r="2517" spans="1:11">
      <c r="A2517" s="141">
        <v>2517</v>
      </c>
      <c r="B2517" s="142">
        <v>44610</v>
      </c>
      <c r="C2517" s="141">
        <v>7.1000000000000014</v>
      </c>
      <c r="D2517" s="141">
        <v>26233.700000000019</v>
      </c>
      <c r="E2517" s="141"/>
      <c r="F2517" s="141"/>
      <c r="G2517" s="141"/>
      <c r="J2517" s="141">
        <f t="shared" si="79"/>
        <v>1.7349999999999999</v>
      </c>
      <c r="K2517" s="141">
        <f t="shared" si="80"/>
        <v>82627.080000000104</v>
      </c>
    </row>
    <row r="2518" spans="1:11">
      <c r="A2518" s="141">
        <v>2518</v>
      </c>
      <c r="B2518" s="142">
        <v>44611</v>
      </c>
      <c r="C2518" s="141">
        <v>6.3000000000000007</v>
      </c>
      <c r="D2518" s="141">
        <v>26240.000000000018</v>
      </c>
      <c r="E2518" s="141"/>
      <c r="F2518" s="141"/>
      <c r="G2518" s="141"/>
      <c r="J2518" s="141">
        <f t="shared" si="79"/>
        <v>1.855</v>
      </c>
      <c r="K2518" s="141">
        <f t="shared" si="80"/>
        <v>82671.600000000108</v>
      </c>
    </row>
    <row r="2519" spans="1:11">
      <c r="A2519" s="141">
        <v>2519</v>
      </c>
      <c r="B2519" s="142">
        <v>44612</v>
      </c>
      <c r="C2519" s="141">
        <v>6.5</v>
      </c>
      <c r="D2519" s="141">
        <v>26246.500000000018</v>
      </c>
      <c r="E2519" s="141"/>
      <c r="F2519" s="141"/>
      <c r="G2519" s="141"/>
      <c r="J2519" s="141">
        <f t="shared" si="79"/>
        <v>1.825</v>
      </c>
      <c r="K2519" s="141">
        <f t="shared" si="80"/>
        <v>82715.400000000111</v>
      </c>
    </row>
    <row r="2520" spans="1:11">
      <c r="A2520" s="141">
        <v>2520</v>
      </c>
      <c r="B2520" s="142">
        <v>44613</v>
      </c>
      <c r="C2520" s="141">
        <v>7.3000000000000007</v>
      </c>
      <c r="D2520" s="141">
        <v>26253.800000000017</v>
      </c>
      <c r="E2520" s="141"/>
      <c r="F2520" s="141"/>
      <c r="G2520" s="141"/>
      <c r="J2520" s="141">
        <f t="shared" si="79"/>
        <v>1.7049999999999998</v>
      </c>
      <c r="K2520" s="141">
        <f t="shared" si="80"/>
        <v>82756.320000000109</v>
      </c>
    </row>
    <row r="2521" spans="1:11">
      <c r="A2521" s="141">
        <v>2521</v>
      </c>
      <c r="B2521" s="142">
        <v>44614</v>
      </c>
      <c r="C2521" s="141">
        <v>5</v>
      </c>
      <c r="D2521" s="141">
        <v>26258.800000000017</v>
      </c>
      <c r="E2521" s="141"/>
      <c r="F2521" s="141"/>
      <c r="G2521" s="141"/>
      <c r="J2521" s="141">
        <f t="shared" si="79"/>
        <v>2.0499999999999998</v>
      </c>
      <c r="K2521" s="141">
        <f t="shared" si="80"/>
        <v>82805.520000000106</v>
      </c>
    </row>
    <row r="2522" spans="1:11">
      <c r="A2522" s="141">
        <v>2522</v>
      </c>
      <c r="B2522" s="142">
        <v>44615</v>
      </c>
      <c r="C2522" s="141">
        <v>6.1999999999999993</v>
      </c>
      <c r="D2522" s="141">
        <v>26265.000000000018</v>
      </c>
      <c r="E2522" s="141"/>
      <c r="F2522" s="141"/>
      <c r="G2522" s="141"/>
      <c r="J2522" s="141">
        <f t="shared" si="79"/>
        <v>1.87</v>
      </c>
      <c r="K2522" s="141">
        <f t="shared" si="80"/>
        <v>82850.400000000111</v>
      </c>
    </row>
    <row r="2523" spans="1:11">
      <c r="A2523" s="141">
        <v>2523</v>
      </c>
      <c r="B2523" s="142">
        <v>44616</v>
      </c>
      <c r="C2523" s="141">
        <v>5</v>
      </c>
      <c r="D2523" s="141">
        <v>26270.000000000018</v>
      </c>
      <c r="E2523" s="141"/>
      <c r="F2523" s="141"/>
      <c r="G2523" s="141"/>
      <c r="J2523" s="141">
        <f t="shared" si="79"/>
        <v>2.0499999999999998</v>
      </c>
      <c r="K2523" s="141">
        <f t="shared" si="80"/>
        <v>82899.600000000108</v>
      </c>
    </row>
    <row r="2524" spans="1:11">
      <c r="A2524" s="141">
        <v>2524</v>
      </c>
      <c r="B2524" s="142">
        <v>44617</v>
      </c>
      <c r="C2524" s="141">
        <v>3.8000000000000007</v>
      </c>
      <c r="D2524" s="141">
        <v>26273.800000000017</v>
      </c>
      <c r="E2524" s="141"/>
      <c r="F2524" s="141"/>
      <c r="G2524" s="141"/>
      <c r="J2524" s="141">
        <f t="shared" si="79"/>
        <v>2.23</v>
      </c>
      <c r="K2524" s="141">
        <f t="shared" si="80"/>
        <v>82953.120000000112</v>
      </c>
    </row>
    <row r="2525" spans="1:11">
      <c r="A2525" s="141">
        <v>2525</v>
      </c>
      <c r="B2525" s="142">
        <v>44618</v>
      </c>
      <c r="C2525" s="141">
        <v>3</v>
      </c>
      <c r="D2525" s="141">
        <v>26276.800000000017</v>
      </c>
      <c r="E2525" s="141"/>
      <c r="F2525" s="141"/>
      <c r="G2525" s="141"/>
      <c r="J2525" s="141">
        <f t="shared" si="79"/>
        <v>2.35</v>
      </c>
      <c r="K2525" s="141">
        <f t="shared" si="80"/>
        <v>83009.520000000106</v>
      </c>
    </row>
    <row r="2526" spans="1:11">
      <c r="A2526" s="141">
        <v>2526</v>
      </c>
      <c r="B2526" s="142">
        <v>44619</v>
      </c>
      <c r="C2526" s="141">
        <v>2.1000000000000014</v>
      </c>
      <c r="D2526" s="141">
        <v>26278.900000000016</v>
      </c>
      <c r="E2526" s="141"/>
      <c r="F2526" s="141"/>
      <c r="G2526" s="141"/>
      <c r="J2526" s="141">
        <f t="shared" si="79"/>
        <v>2.4849999999999999</v>
      </c>
      <c r="K2526" s="141">
        <f t="shared" si="80"/>
        <v>83069.160000000105</v>
      </c>
    </row>
    <row r="2527" spans="1:11">
      <c r="A2527" s="141">
        <v>2527</v>
      </c>
      <c r="B2527" s="142">
        <v>44620</v>
      </c>
      <c r="C2527" s="141">
        <v>-0.89999999999999858</v>
      </c>
      <c r="D2527" s="141">
        <v>26278.000000000015</v>
      </c>
      <c r="E2527" s="141"/>
      <c r="F2527" s="141"/>
      <c r="G2527" s="141"/>
      <c r="J2527" s="141">
        <f t="shared" si="79"/>
        <v>2.9350000000000001</v>
      </c>
      <c r="K2527" s="141">
        <f t="shared" si="80"/>
        <v>83139.600000000108</v>
      </c>
    </row>
    <row r="2528" spans="1:11">
      <c r="A2528" s="141">
        <v>2528</v>
      </c>
      <c r="B2528" s="142">
        <v>44621</v>
      </c>
      <c r="C2528" s="141">
        <v>-0.89999999999999858</v>
      </c>
      <c r="D2528" s="141">
        <v>26277.100000000013</v>
      </c>
      <c r="E2528" s="141"/>
      <c r="F2528" s="141"/>
      <c r="G2528" s="141"/>
      <c r="J2528" s="141">
        <f t="shared" si="79"/>
        <v>2.9350000000000001</v>
      </c>
      <c r="K2528" s="141">
        <f t="shared" si="80"/>
        <v>83210.04000000011</v>
      </c>
    </row>
    <row r="2529" spans="1:11">
      <c r="A2529" s="141">
        <v>2529</v>
      </c>
      <c r="B2529" s="142">
        <v>44622</v>
      </c>
      <c r="C2529" s="141">
        <v>-0.80000000000000071</v>
      </c>
      <c r="D2529" s="141">
        <v>26276.300000000014</v>
      </c>
      <c r="E2529" s="141"/>
      <c r="F2529" s="141"/>
      <c r="G2529" s="141"/>
      <c r="J2529" s="141">
        <f t="shared" si="79"/>
        <v>2.9200000000000004</v>
      </c>
      <c r="K2529" s="141">
        <f t="shared" si="80"/>
        <v>83280.120000000112</v>
      </c>
    </row>
    <row r="2530" spans="1:11">
      <c r="A2530" s="141">
        <v>2530</v>
      </c>
      <c r="B2530" s="142">
        <v>44623</v>
      </c>
      <c r="C2530" s="141">
        <v>-0.10000000000000142</v>
      </c>
      <c r="D2530" s="141">
        <v>26276.200000000015</v>
      </c>
      <c r="E2530" s="141"/>
      <c r="F2530" s="141"/>
      <c r="G2530" s="141"/>
      <c r="J2530" s="141">
        <f t="shared" si="79"/>
        <v>2.8149999999999999</v>
      </c>
      <c r="K2530" s="141">
        <f t="shared" si="80"/>
        <v>83347.680000000109</v>
      </c>
    </row>
    <row r="2531" spans="1:11">
      <c r="A2531" s="141">
        <v>2531</v>
      </c>
      <c r="B2531" s="142">
        <v>44624</v>
      </c>
      <c r="C2531" s="143">
        <v>-0.19999999999999929</v>
      </c>
      <c r="D2531" s="138">
        <v>26276.000000000015</v>
      </c>
      <c r="E2531" s="141"/>
      <c r="F2531" s="141"/>
      <c r="G2531" s="141"/>
      <c r="J2531" s="141">
        <f t="shared" si="79"/>
        <v>2.8299999999999996</v>
      </c>
      <c r="K2531" s="141">
        <f t="shared" si="80"/>
        <v>83415.600000000108</v>
      </c>
    </row>
    <row r="2532" spans="1:11">
      <c r="A2532" s="141">
        <v>2532</v>
      </c>
      <c r="B2532" s="142">
        <v>44625</v>
      </c>
      <c r="C2532" s="143">
        <v>0.89999999999999858</v>
      </c>
      <c r="D2532" s="141">
        <v>26276.900000000016</v>
      </c>
      <c r="E2532" s="141"/>
      <c r="F2532" s="141"/>
      <c r="G2532" s="141"/>
      <c r="J2532" s="141">
        <f t="shared" si="79"/>
        <v>2.665</v>
      </c>
      <c r="K2532" s="141">
        <f t="shared" si="80"/>
        <v>83479.560000000114</v>
      </c>
    </row>
    <row r="2533" spans="1:11">
      <c r="A2533" s="141">
        <v>2533</v>
      </c>
      <c r="B2533" s="142">
        <v>44626</v>
      </c>
      <c r="C2533" s="143">
        <v>-1.1000000000000014</v>
      </c>
      <c r="D2533" s="141">
        <v>26275.800000000017</v>
      </c>
      <c r="E2533" s="141"/>
      <c r="F2533" s="141"/>
      <c r="G2533" s="141"/>
      <c r="J2533" s="141">
        <f t="shared" si="79"/>
        <v>2.9650000000000003</v>
      </c>
      <c r="K2533" s="141">
        <f t="shared" si="80"/>
        <v>83550.720000000118</v>
      </c>
    </row>
    <row r="2534" spans="1:11">
      <c r="A2534" s="141">
        <v>2534</v>
      </c>
      <c r="B2534" s="142">
        <v>44627</v>
      </c>
      <c r="C2534" s="143">
        <v>0.39999999999999858</v>
      </c>
      <c r="D2534" s="141">
        <v>26276.200000000019</v>
      </c>
      <c r="E2534" s="141"/>
      <c r="F2534" s="141"/>
      <c r="G2534" s="141"/>
      <c r="J2534" s="141">
        <f t="shared" si="79"/>
        <v>2.74</v>
      </c>
      <c r="K2534" s="141">
        <f t="shared" si="80"/>
        <v>83616.480000000112</v>
      </c>
    </row>
    <row r="2535" spans="1:11">
      <c r="A2535" s="141">
        <v>2535</v>
      </c>
      <c r="B2535" s="142">
        <v>44628</v>
      </c>
      <c r="C2535" s="143">
        <v>1.1999999999999993</v>
      </c>
      <c r="D2535" s="141">
        <v>26277.40000000002</v>
      </c>
      <c r="E2535" s="141"/>
      <c r="F2535" s="141"/>
      <c r="G2535" s="141"/>
      <c r="J2535" s="141">
        <f t="shared" si="79"/>
        <v>2.62</v>
      </c>
      <c r="K2535" s="141">
        <f t="shared" si="80"/>
        <v>83679.360000000117</v>
      </c>
    </row>
    <row r="2536" spans="1:11">
      <c r="A2536" s="141">
        <v>2536</v>
      </c>
      <c r="B2536" s="142">
        <v>44629</v>
      </c>
      <c r="C2536" s="143">
        <v>3</v>
      </c>
      <c r="D2536" s="141">
        <v>26280.40000000002</v>
      </c>
      <c r="E2536" s="141"/>
      <c r="F2536" s="141"/>
      <c r="G2536" s="141"/>
      <c r="J2536" s="141">
        <f t="shared" si="79"/>
        <v>2.35</v>
      </c>
      <c r="K2536" s="141">
        <f t="shared" si="80"/>
        <v>83735.760000000111</v>
      </c>
    </row>
    <row r="2537" spans="1:11">
      <c r="A2537" s="141">
        <v>2537</v>
      </c>
      <c r="B2537" s="142">
        <v>44630</v>
      </c>
      <c r="C2537" s="143">
        <v>1.5</v>
      </c>
      <c r="D2537" s="141">
        <v>26281.90000000002</v>
      </c>
      <c r="E2537" s="141"/>
      <c r="F2537" s="141"/>
      <c r="G2537" s="141"/>
      <c r="J2537" s="141">
        <f t="shared" si="79"/>
        <v>2.5750000000000002</v>
      </c>
      <c r="K2537" s="141">
        <f t="shared" si="80"/>
        <v>83797.560000000114</v>
      </c>
    </row>
    <row r="2538" spans="1:11">
      <c r="A2538" s="141">
        <v>2538</v>
      </c>
      <c r="B2538" s="142">
        <v>44631</v>
      </c>
      <c r="C2538" s="143">
        <v>0.19999999999999929</v>
      </c>
      <c r="D2538" s="141">
        <v>26282.10000000002</v>
      </c>
      <c r="E2538" s="141"/>
      <c r="F2538" s="141"/>
      <c r="G2538" s="141"/>
      <c r="J2538" s="141">
        <f t="shared" si="79"/>
        <v>2.7700000000000005</v>
      </c>
      <c r="K2538" s="141">
        <f t="shared" si="80"/>
        <v>83864.04000000011</v>
      </c>
    </row>
    <row r="2539" spans="1:11">
      <c r="A2539" s="141">
        <v>2539</v>
      </c>
      <c r="B2539" s="142">
        <v>44632</v>
      </c>
      <c r="C2539" s="143">
        <v>1.8999999999999986</v>
      </c>
      <c r="D2539" s="141">
        <v>26284.000000000022</v>
      </c>
      <c r="E2539" s="141"/>
      <c r="F2539" s="141"/>
      <c r="G2539" s="141"/>
      <c r="J2539" s="141">
        <f t="shared" si="79"/>
        <v>2.5150000000000001</v>
      </c>
      <c r="K2539" s="141">
        <f t="shared" si="80"/>
        <v>83924.400000000111</v>
      </c>
    </row>
    <row r="2540" spans="1:11">
      <c r="A2540" s="141">
        <v>2540</v>
      </c>
      <c r="B2540" s="142">
        <v>44633</v>
      </c>
      <c r="C2540" s="143">
        <v>3.6999999999999993</v>
      </c>
      <c r="D2540" s="141">
        <v>26287.700000000023</v>
      </c>
      <c r="E2540" s="141"/>
      <c r="F2540" s="141"/>
      <c r="G2540" s="141"/>
      <c r="J2540" s="141">
        <f t="shared" si="79"/>
        <v>2.2450000000000001</v>
      </c>
      <c r="K2540" s="141">
        <f t="shared" si="80"/>
        <v>83978.280000000115</v>
      </c>
    </row>
    <row r="2541" spans="1:11">
      <c r="A2541" s="141">
        <v>2541</v>
      </c>
      <c r="B2541" s="142">
        <v>44634</v>
      </c>
      <c r="C2541" s="143">
        <v>5.3999999999999986</v>
      </c>
      <c r="D2541" s="141">
        <v>26293.100000000024</v>
      </c>
      <c r="E2541" s="141"/>
      <c r="F2541" s="141"/>
      <c r="G2541" s="141"/>
      <c r="J2541" s="141">
        <f t="shared" si="79"/>
        <v>1.99</v>
      </c>
      <c r="K2541" s="141">
        <f t="shared" si="80"/>
        <v>84026.04000000011</v>
      </c>
    </row>
    <row r="2542" spans="1:11">
      <c r="A2542" s="141">
        <v>2542</v>
      </c>
      <c r="B2542" s="142">
        <v>44635</v>
      </c>
      <c r="C2542" s="143">
        <v>6.3000000000000007</v>
      </c>
      <c r="D2542" s="141">
        <v>26299.400000000023</v>
      </c>
      <c r="E2542" s="141"/>
      <c r="F2542" s="141"/>
      <c r="G2542" s="141"/>
      <c r="J2542" s="141">
        <f t="shared" si="79"/>
        <v>1.855</v>
      </c>
      <c r="K2542" s="141">
        <f t="shared" si="80"/>
        <v>84070.560000000114</v>
      </c>
    </row>
    <row r="2543" spans="1:11">
      <c r="A2543" s="141">
        <v>2543</v>
      </c>
      <c r="B2543" s="142">
        <v>44636</v>
      </c>
      <c r="C2543" s="143">
        <v>7.6999999999999993</v>
      </c>
      <c r="D2543" s="141">
        <v>26307.100000000024</v>
      </c>
      <c r="E2543" s="141"/>
      <c r="F2543" s="141"/>
      <c r="G2543" s="141"/>
      <c r="J2543" s="141">
        <f t="shared" si="79"/>
        <v>1.645</v>
      </c>
      <c r="K2543" s="141">
        <f t="shared" si="80"/>
        <v>84110.04000000011</v>
      </c>
    </row>
    <row r="2544" spans="1:11">
      <c r="A2544" s="141">
        <v>2544</v>
      </c>
      <c r="B2544" s="142">
        <v>44637</v>
      </c>
      <c r="C2544" s="143">
        <v>7.3000000000000007</v>
      </c>
      <c r="D2544" s="141">
        <v>26314.400000000023</v>
      </c>
      <c r="E2544" s="141"/>
      <c r="F2544" s="141"/>
      <c r="G2544" s="141"/>
      <c r="J2544" s="141">
        <f t="shared" si="79"/>
        <v>1.7049999999999998</v>
      </c>
      <c r="K2544" s="141">
        <f t="shared" si="80"/>
        <v>84150.960000000108</v>
      </c>
    </row>
    <row r="2545" spans="1:11">
      <c r="A2545" s="141">
        <v>2545</v>
      </c>
      <c r="B2545" s="142">
        <v>44638</v>
      </c>
      <c r="C2545" s="143">
        <v>7.1000000000000014</v>
      </c>
      <c r="D2545" s="141">
        <v>26321.500000000022</v>
      </c>
      <c r="E2545" s="141"/>
      <c r="F2545" s="141"/>
      <c r="G2545" s="141"/>
      <c r="J2545" s="141">
        <f t="shared" si="79"/>
        <v>1.7349999999999999</v>
      </c>
      <c r="K2545" s="141">
        <f t="shared" si="80"/>
        <v>84192.600000000108</v>
      </c>
    </row>
    <row r="2546" spans="1:11">
      <c r="A2546" s="141">
        <v>2546</v>
      </c>
      <c r="B2546" s="142">
        <v>44639</v>
      </c>
      <c r="C2546" s="143">
        <v>4.8000000000000007</v>
      </c>
      <c r="D2546" s="141">
        <v>26326.300000000021</v>
      </c>
      <c r="E2546" s="141"/>
      <c r="F2546" s="141"/>
      <c r="G2546" s="141"/>
      <c r="J2546" s="141">
        <f t="shared" si="79"/>
        <v>2.08</v>
      </c>
      <c r="K2546" s="141">
        <f t="shared" si="80"/>
        <v>84242.520000000106</v>
      </c>
    </row>
    <row r="2547" spans="1:11">
      <c r="A2547" s="141">
        <v>2547</v>
      </c>
      <c r="B2547" s="142">
        <v>44640</v>
      </c>
      <c r="C2547" s="143">
        <v>4.8999999999999986</v>
      </c>
      <c r="D2547" s="141">
        <v>26331.200000000023</v>
      </c>
      <c r="E2547" s="141"/>
      <c r="F2547" s="141"/>
      <c r="G2547" s="141"/>
      <c r="J2547" s="141">
        <f t="shared" si="79"/>
        <v>2.0650000000000004</v>
      </c>
      <c r="K2547" s="141">
        <f t="shared" si="80"/>
        <v>84292.080000000104</v>
      </c>
    </row>
    <row r="2548" spans="1:11">
      <c r="A2548" s="141">
        <v>2548</v>
      </c>
      <c r="B2548" s="142">
        <v>44641</v>
      </c>
      <c r="C2548" s="143">
        <v>5.1999999999999993</v>
      </c>
      <c r="D2548" s="141">
        <v>26336.400000000023</v>
      </c>
      <c r="E2548" s="141"/>
      <c r="F2548" s="141"/>
      <c r="G2548" s="141"/>
      <c r="J2548" s="141">
        <f t="shared" si="79"/>
        <v>2.02</v>
      </c>
      <c r="K2548" s="141">
        <f t="shared" si="80"/>
        <v>84340.5600000001</v>
      </c>
    </row>
    <row r="2549" spans="1:11">
      <c r="A2549" s="141">
        <v>2549</v>
      </c>
      <c r="B2549" s="142">
        <v>44642</v>
      </c>
      <c r="C2549" s="143">
        <v>8</v>
      </c>
      <c r="D2549" s="141">
        <v>26344.400000000023</v>
      </c>
      <c r="E2549" s="141"/>
      <c r="F2549" s="141"/>
      <c r="G2549" s="141"/>
      <c r="J2549" s="141">
        <f t="shared" si="79"/>
        <v>1.6</v>
      </c>
      <c r="K2549" s="141">
        <f t="shared" si="80"/>
        <v>84378.960000000094</v>
      </c>
    </row>
    <row r="2550" spans="1:11">
      <c r="A2550" s="141">
        <v>2550</v>
      </c>
      <c r="B2550" s="142">
        <v>44643</v>
      </c>
      <c r="C2550" s="143">
        <v>8.6000000000000014</v>
      </c>
      <c r="D2550" s="141">
        <v>26353.000000000022</v>
      </c>
      <c r="E2550" s="141"/>
      <c r="F2550" s="141"/>
      <c r="G2550" s="141"/>
      <c r="J2550" s="141">
        <f t="shared" si="79"/>
        <v>1.51</v>
      </c>
      <c r="K2550" s="141">
        <f t="shared" si="80"/>
        <v>84415.200000000099</v>
      </c>
    </row>
    <row r="2551" spans="1:11">
      <c r="A2551" s="141">
        <v>2551</v>
      </c>
      <c r="B2551" s="142">
        <v>44644</v>
      </c>
      <c r="C2551" s="143">
        <v>9.3000000000000007</v>
      </c>
      <c r="D2551" s="141">
        <v>26362.300000000021</v>
      </c>
      <c r="E2551" s="141"/>
      <c r="F2551" s="141"/>
      <c r="G2551" s="141"/>
      <c r="J2551" s="141">
        <f t="shared" si="79"/>
        <v>1.405</v>
      </c>
      <c r="K2551" s="141">
        <f t="shared" si="80"/>
        <v>84448.9200000001</v>
      </c>
    </row>
    <row r="2552" spans="1:11">
      <c r="A2552" s="141">
        <v>2552</v>
      </c>
      <c r="B2552" s="142">
        <v>44645</v>
      </c>
      <c r="C2552" s="143">
        <v>7.6999999999999993</v>
      </c>
      <c r="D2552" s="141">
        <v>26370.000000000022</v>
      </c>
      <c r="E2552" s="141"/>
      <c r="F2552" s="141"/>
      <c r="G2552" s="141"/>
      <c r="J2552" s="141">
        <f t="shared" si="79"/>
        <v>1.645</v>
      </c>
      <c r="K2552" s="141">
        <f t="shared" si="80"/>
        <v>84488.400000000096</v>
      </c>
    </row>
    <row r="2553" spans="1:11">
      <c r="A2553" s="141">
        <v>2553</v>
      </c>
      <c r="B2553" s="142">
        <v>44646</v>
      </c>
      <c r="C2553" s="143">
        <v>10</v>
      </c>
      <c r="D2553" s="141">
        <v>26380.000000000022</v>
      </c>
      <c r="E2553" s="141"/>
      <c r="F2553" s="141"/>
      <c r="G2553" s="141"/>
      <c r="J2553" s="141">
        <f t="shared" si="79"/>
        <v>1.3</v>
      </c>
      <c r="K2553" s="141">
        <f t="shared" si="80"/>
        <v>84519.600000000093</v>
      </c>
    </row>
    <row r="2554" spans="1:11">
      <c r="A2554" s="141">
        <v>2554</v>
      </c>
      <c r="B2554" s="142">
        <v>44647</v>
      </c>
      <c r="C2554" s="143">
        <v>11.3</v>
      </c>
      <c r="D2554" s="141">
        <v>26391.300000000021</v>
      </c>
      <c r="E2554" s="141"/>
      <c r="F2554" s="141"/>
      <c r="G2554" s="141"/>
      <c r="J2554" s="141">
        <f t="shared" si="79"/>
        <v>1.105</v>
      </c>
      <c r="K2554" s="141">
        <f t="shared" si="80"/>
        <v>84546.120000000097</v>
      </c>
    </row>
    <row r="2555" spans="1:11">
      <c r="A2555" s="141">
        <v>2555</v>
      </c>
      <c r="B2555" s="142">
        <v>44648</v>
      </c>
      <c r="C2555" s="143">
        <v>11.3</v>
      </c>
      <c r="D2555" s="141">
        <v>26402.60000000002</v>
      </c>
      <c r="E2555" s="141"/>
      <c r="F2555" s="141"/>
      <c r="G2555" s="141"/>
      <c r="J2555" s="141">
        <f t="shared" si="79"/>
        <v>1.105</v>
      </c>
      <c r="K2555" s="141">
        <f t="shared" si="80"/>
        <v>84572.640000000101</v>
      </c>
    </row>
    <row r="2556" spans="1:11">
      <c r="A2556" s="141">
        <v>2556</v>
      </c>
      <c r="B2556" s="142">
        <v>44649</v>
      </c>
      <c r="C2556" s="143">
        <v>9.3000000000000007</v>
      </c>
      <c r="D2556" s="141">
        <v>26411.90000000002</v>
      </c>
      <c r="E2556" s="141"/>
      <c r="F2556" s="141"/>
      <c r="G2556" s="141"/>
      <c r="J2556" s="141">
        <f t="shared" si="79"/>
        <v>1.405</v>
      </c>
      <c r="K2556" s="141">
        <f t="shared" si="80"/>
        <v>84606.360000000102</v>
      </c>
    </row>
    <row r="2557" spans="1:11">
      <c r="A2557" s="141">
        <v>2557</v>
      </c>
      <c r="B2557" s="142">
        <v>44650</v>
      </c>
      <c r="C2557" s="143">
        <v>6.3000000000000007</v>
      </c>
      <c r="D2557" s="141">
        <v>26418.200000000019</v>
      </c>
      <c r="E2557" s="141"/>
      <c r="F2557" s="141"/>
      <c r="G2557" s="141"/>
      <c r="J2557" s="141">
        <f t="shared" si="79"/>
        <v>1.855</v>
      </c>
      <c r="K2557" s="141">
        <f t="shared" si="80"/>
        <v>84650.880000000107</v>
      </c>
    </row>
    <row r="2558" spans="1:11">
      <c r="A2558" s="141">
        <v>2558</v>
      </c>
      <c r="B2558" s="142">
        <v>44651</v>
      </c>
      <c r="C2558" s="143">
        <v>3.6999999999999993</v>
      </c>
      <c r="D2558" s="141">
        <v>26421.90000000002</v>
      </c>
      <c r="E2558" s="141"/>
      <c r="F2558" s="141"/>
      <c r="G2558" s="141"/>
      <c r="J2558" s="141">
        <f t="shared" si="79"/>
        <v>2.2450000000000001</v>
      </c>
      <c r="K2558" s="141">
        <f t="shared" si="80"/>
        <v>84704.760000000111</v>
      </c>
    </row>
    <row r="2559" spans="1:11">
      <c r="A2559" s="141">
        <v>2559</v>
      </c>
      <c r="B2559" s="162">
        <v>44652</v>
      </c>
      <c r="C2559" s="141">
        <v>1.6999999999999993</v>
      </c>
      <c r="D2559" s="138">
        <v>26423.60000000002</v>
      </c>
      <c r="E2559" s="141"/>
      <c r="F2559" s="141"/>
      <c r="G2559" s="141"/>
      <c r="J2559" s="141">
        <f t="shared" si="79"/>
        <v>2.5450000000000004</v>
      </c>
      <c r="K2559" s="141">
        <f t="shared" si="80"/>
        <v>84765.840000000113</v>
      </c>
    </row>
    <row r="2560" spans="1:11">
      <c r="A2560" s="141">
        <v>2560</v>
      </c>
      <c r="B2560" s="162">
        <v>44653</v>
      </c>
      <c r="C2560" s="141">
        <v>1.6000000000000014</v>
      </c>
      <c r="D2560" s="141">
        <v>26425.200000000019</v>
      </c>
      <c r="E2560" s="141"/>
      <c r="F2560" s="141"/>
      <c r="G2560" s="141"/>
      <c r="J2560" s="141">
        <f t="shared" si="79"/>
        <v>2.56</v>
      </c>
      <c r="K2560" s="141">
        <f t="shared" si="80"/>
        <v>84827.280000000115</v>
      </c>
    </row>
    <row r="2561" spans="1:11">
      <c r="A2561" s="141">
        <v>2561</v>
      </c>
      <c r="B2561" s="162">
        <v>44654</v>
      </c>
      <c r="C2561" s="141">
        <v>0.5</v>
      </c>
      <c r="D2561" s="141">
        <v>26425.700000000019</v>
      </c>
      <c r="E2561" s="141"/>
      <c r="F2561" s="141"/>
      <c r="G2561" s="141"/>
      <c r="J2561" s="141">
        <f t="shared" si="79"/>
        <v>2.7250000000000001</v>
      </c>
      <c r="K2561" s="141">
        <f t="shared" si="80"/>
        <v>84892.680000000109</v>
      </c>
    </row>
    <row r="2562" spans="1:11">
      <c r="A2562" s="141">
        <v>2562</v>
      </c>
      <c r="B2562" s="162">
        <v>44655</v>
      </c>
      <c r="C2562" s="141">
        <v>3.1999999999999993</v>
      </c>
      <c r="D2562" s="141">
        <v>26428.90000000002</v>
      </c>
      <c r="E2562" s="141"/>
      <c r="F2562" s="141"/>
      <c r="G2562" s="141"/>
      <c r="J2562" s="141">
        <f t="shared" si="79"/>
        <v>2.3199999999999998</v>
      </c>
      <c r="K2562" s="141">
        <f t="shared" si="80"/>
        <v>84948.360000000102</v>
      </c>
    </row>
    <row r="2563" spans="1:11">
      <c r="A2563" s="141">
        <v>2563</v>
      </c>
      <c r="B2563" s="162">
        <v>44656</v>
      </c>
      <c r="C2563" s="141">
        <v>6.5</v>
      </c>
      <c r="D2563" s="141">
        <v>26435.40000000002</v>
      </c>
      <c r="E2563" s="141"/>
      <c r="F2563" s="141"/>
      <c r="G2563" s="141"/>
      <c r="J2563" s="141">
        <f t="shared" si="79"/>
        <v>1.825</v>
      </c>
      <c r="K2563" s="141">
        <f t="shared" si="80"/>
        <v>84992.160000000105</v>
      </c>
    </row>
    <row r="2564" spans="1:11">
      <c r="A2564" s="141">
        <v>2564</v>
      </c>
      <c r="B2564" s="162">
        <v>44657</v>
      </c>
      <c r="C2564" s="141">
        <v>11</v>
      </c>
      <c r="D2564" s="141">
        <v>26446.40000000002</v>
      </c>
      <c r="E2564" s="141"/>
      <c r="F2564" s="141"/>
      <c r="G2564" s="141"/>
      <c r="J2564" s="141">
        <f t="shared" si="79"/>
        <v>1.1499999999999999</v>
      </c>
      <c r="K2564" s="141">
        <f t="shared" si="80"/>
        <v>85019.760000000111</v>
      </c>
    </row>
    <row r="2565" spans="1:11">
      <c r="A2565" s="141">
        <v>2565</v>
      </c>
      <c r="B2565" s="162">
        <v>44658</v>
      </c>
      <c r="C2565" s="141">
        <v>11.600000000000001</v>
      </c>
      <c r="D2565" s="141">
        <v>26458.000000000018</v>
      </c>
      <c r="E2565" s="141"/>
      <c r="F2565" s="141"/>
      <c r="G2565" s="141"/>
      <c r="J2565" s="141">
        <f t="shared" si="79"/>
        <v>1.0599999999999998</v>
      </c>
      <c r="K2565" s="141">
        <f t="shared" si="80"/>
        <v>85045.200000000114</v>
      </c>
    </row>
    <row r="2566" spans="1:11">
      <c r="A2566" s="141">
        <v>2566</v>
      </c>
      <c r="B2566" s="162">
        <v>44659</v>
      </c>
      <c r="C2566" s="141">
        <v>7.1000000000000014</v>
      </c>
      <c r="D2566" s="141">
        <v>26465.100000000017</v>
      </c>
      <c r="E2566" s="141"/>
      <c r="F2566" s="141"/>
      <c r="G2566" s="141"/>
      <c r="J2566" s="141">
        <f t="shared" si="79"/>
        <v>1.7349999999999999</v>
      </c>
      <c r="K2566" s="141">
        <f t="shared" si="80"/>
        <v>85086.840000000113</v>
      </c>
    </row>
    <row r="2567" spans="1:11">
      <c r="A2567" s="141">
        <v>2567</v>
      </c>
      <c r="B2567" s="162">
        <v>44660</v>
      </c>
      <c r="C2567" s="141">
        <v>4.3000000000000007</v>
      </c>
      <c r="D2567" s="141">
        <v>26469.400000000016</v>
      </c>
      <c r="E2567" s="141"/>
      <c r="F2567" s="141"/>
      <c r="G2567" s="141"/>
      <c r="J2567" s="141">
        <f t="shared" ref="J2567:J2630" si="81">J$1+(IF(J$3-$C2567&gt;0,J$3-$C2567,0)*J$2/30)</f>
        <v>2.1550000000000002</v>
      </c>
      <c r="K2567" s="141">
        <f t="shared" ref="K2567:K2630" si="82">K2566+J2567*24</f>
        <v>85138.560000000114</v>
      </c>
    </row>
    <row r="2568" spans="1:11">
      <c r="A2568" s="141">
        <v>2568</v>
      </c>
      <c r="B2568" s="162">
        <v>44661</v>
      </c>
      <c r="C2568" s="141">
        <v>3.6000000000000014</v>
      </c>
      <c r="D2568" s="141">
        <v>26473.000000000015</v>
      </c>
      <c r="E2568" s="141"/>
      <c r="F2568" s="141"/>
      <c r="G2568" s="141"/>
      <c r="J2568" s="141">
        <f t="shared" si="81"/>
        <v>2.2599999999999998</v>
      </c>
      <c r="K2568" s="141">
        <f t="shared" si="82"/>
        <v>85192.800000000119</v>
      </c>
    </row>
    <row r="2569" spans="1:11">
      <c r="A2569" s="141">
        <v>2569</v>
      </c>
      <c r="B2569" s="162">
        <v>44662</v>
      </c>
      <c r="C2569" s="141">
        <v>6</v>
      </c>
      <c r="D2569" s="141">
        <v>26479.000000000015</v>
      </c>
      <c r="E2569" s="141"/>
      <c r="F2569" s="141"/>
      <c r="G2569" s="141"/>
      <c r="J2569" s="141">
        <f t="shared" si="81"/>
        <v>1.9</v>
      </c>
      <c r="K2569" s="141">
        <f t="shared" si="82"/>
        <v>85238.400000000125</v>
      </c>
    </row>
    <row r="2570" spans="1:11">
      <c r="A2570" s="141">
        <v>2570</v>
      </c>
      <c r="B2570" s="162">
        <v>44663</v>
      </c>
      <c r="C2570" s="141">
        <v>8.3999999999999986</v>
      </c>
      <c r="D2570" s="141">
        <v>26487.400000000016</v>
      </c>
      <c r="E2570" s="141"/>
      <c r="F2570" s="141"/>
      <c r="G2570" s="141"/>
      <c r="J2570" s="141">
        <f t="shared" si="81"/>
        <v>1.54</v>
      </c>
      <c r="K2570" s="141">
        <f t="shared" si="82"/>
        <v>85275.360000000132</v>
      </c>
    </row>
    <row r="2571" spans="1:11">
      <c r="A2571" s="141">
        <v>2571</v>
      </c>
      <c r="B2571" s="162">
        <v>44664</v>
      </c>
      <c r="C2571" s="141">
        <v>12.3</v>
      </c>
      <c r="D2571" s="141">
        <v>26499.700000000015</v>
      </c>
      <c r="E2571" s="141"/>
      <c r="F2571" s="141"/>
      <c r="G2571" s="141"/>
      <c r="J2571" s="141">
        <f t="shared" si="81"/>
        <v>0.95499999999999996</v>
      </c>
      <c r="K2571" s="141">
        <f t="shared" si="82"/>
        <v>85298.28000000013</v>
      </c>
    </row>
    <row r="2572" spans="1:11">
      <c r="A2572" s="141">
        <v>2572</v>
      </c>
      <c r="B2572" s="162">
        <v>44665</v>
      </c>
      <c r="C2572" s="141">
        <v>13.8</v>
      </c>
      <c r="D2572" s="141">
        <v>26513.500000000015</v>
      </c>
      <c r="E2572" s="141"/>
      <c r="F2572" s="141"/>
      <c r="G2572" s="141"/>
      <c r="J2572" s="141">
        <f t="shared" si="81"/>
        <v>0.72999999999999987</v>
      </c>
      <c r="K2572" s="141">
        <f t="shared" si="82"/>
        <v>85315.800000000134</v>
      </c>
    </row>
    <row r="2573" spans="1:11">
      <c r="A2573" s="141">
        <v>2573</v>
      </c>
      <c r="B2573" s="162">
        <v>44666</v>
      </c>
      <c r="C2573" s="141">
        <v>10.899999999999999</v>
      </c>
      <c r="D2573" s="141">
        <v>26524.400000000016</v>
      </c>
      <c r="E2573" s="141"/>
      <c r="F2573" s="141"/>
      <c r="G2573" s="141"/>
      <c r="J2573" s="141">
        <f t="shared" si="81"/>
        <v>1.1650000000000003</v>
      </c>
      <c r="K2573" s="141">
        <f t="shared" si="82"/>
        <v>85343.76000000014</v>
      </c>
    </row>
    <row r="2574" spans="1:11">
      <c r="A2574" s="141">
        <v>2574</v>
      </c>
      <c r="B2574" s="162">
        <v>44667</v>
      </c>
      <c r="C2574" s="141">
        <v>6.3000000000000007</v>
      </c>
      <c r="D2574" s="141">
        <v>26530.700000000015</v>
      </c>
      <c r="E2574" s="141"/>
      <c r="F2574" s="141"/>
      <c r="G2574" s="141"/>
      <c r="J2574" s="141">
        <f t="shared" si="81"/>
        <v>1.855</v>
      </c>
      <c r="K2574" s="141">
        <f t="shared" si="82"/>
        <v>85388.280000000144</v>
      </c>
    </row>
    <row r="2575" spans="1:11">
      <c r="A2575" s="141">
        <v>2575</v>
      </c>
      <c r="B2575" s="162">
        <v>44668</v>
      </c>
      <c r="C2575" s="141">
        <v>6.3000000000000007</v>
      </c>
      <c r="D2575" s="141">
        <v>26537.000000000015</v>
      </c>
      <c r="E2575" s="141"/>
      <c r="F2575" s="141"/>
      <c r="G2575" s="141"/>
      <c r="J2575" s="141">
        <f t="shared" si="81"/>
        <v>1.855</v>
      </c>
      <c r="K2575" s="141">
        <f t="shared" si="82"/>
        <v>85432.800000000148</v>
      </c>
    </row>
    <row r="2576" spans="1:11">
      <c r="A2576" s="141">
        <v>2576</v>
      </c>
      <c r="B2576" s="162">
        <v>44669</v>
      </c>
      <c r="C2576" s="141">
        <v>8.3000000000000007</v>
      </c>
      <c r="D2576" s="141">
        <v>26545.300000000014</v>
      </c>
      <c r="E2576" s="141"/>
      <c r="F2576" s="141"/>
      <c r="G2576" s="141"/>
      <c r="J2576" s="141">
        <f t="shared" si="81"/>
        <v>1.5549999999999999</v>
      </c>
      <c r="K2576" s="141">
        <f t="shared" si="82"/>
        <v>85470.120000000155</v>
      </c>
    </row>
    <row r="2577" spans="1:11">
      <c r="A2577" s="141">
        <v>2577</v>
      </c>
      <c r="B2577" s="162">
        <v>44670</v>
      </c>
      <c r="C2577" s="141">
        <v>6.3000000000000007</v>
      </c>
      <c r="D2577" s="141">
        <v>26551.600000000013</v>
      </c>
      <c r="E2577" s="141"/>
      <c r="F2577" s="141"/>
      <c r="G2577" s="141"/>
      <c r="J2577" s="141">
        <f t="shared" si="81"/>
        <v>1.855</v>
      </c>
      <c r="K2577" s="141">
        <f t="shared" si="82"/>
        <v>85514.640000000159</v>
      </c>
    </row>
    <row r="2578" spans="1:11">
      <c r="A2578" s="141">
        <v>2578</v>
      </c>
      <c r="B2578" s="162">
        <v>44671</v>
      </c>
      <c r="C2578" s="141">
        <v>3.8999999999999986</v>
      </c>
      <c r="D2578" s="141">
        <v>26555.500000000015</v>
      </c>
      <c r="E2578" s="141"/>
      <c r="F2578" s="141"/>
      <c r="G2578" s="141"/>
      <c r="J2578" s="141">
        <f t="shared" si="81"/>
        <v>2.2149999999999999</v>
      </c>
      <c r="K2578" s="141">
        <f t="shared" si="82"/>
        <v>85567.800000000163</v>
      </c>
    </row>
    <row r="2579" spans="1:11">
      <c r="A2579" s="141">
        <v>2579</v>
      </c>
      <c r="B2579" s="162">
        <v>44672</v>
      </c>
      <c r="C2579" s="141">
        <v>7.3999999999999986</v>
      </c>
      <c r="D2579" s="141">
        <v>26562.900000000016</v>
      </c>
      <c r="E2579" s="141"/>
      <c r="F2579" s="141"/>
      <c r="G2579" s="141"/>
      <c r="J2579" s="141">
        <f t="shared" si="81"/>
        <v>1.6900000000000002</v>
      </c>
      <c r="K2579" s="141">
        <f t="shared" si="82"/>
        <v>85608.360000000161</v>
      </c>
    </row>
    <row r="2580" spans="1:11">
      <c r="A2580" s="141">
        <v>2580</v>
      </c>
      <c r="B2580" s="162">
        <v>44673</v>
      </c>
      <c r="C2580" s="141">
        <v>8.3999999999999986</v>
      </c>
      <c r="D2580" s="141">
        <v>26571.300000000017</v>
      </c>
      <c r="E2580" s="141"/>
      <c r="F2580" s="141"/>
      <c r="G2580" s="141"/>
      <c r="J2580" s="141">
        <f t="shared" si="81"/>
        <v>1.54</v>
      </c>
      <c r="K2580" s="141">
        <f t="shared" si="82"/>
        <v>85645.320000000167</v>
      </c>
    </row>
    <row r="2581" spans="1:11">
      <c r="A2581" s="141">
        <v>2581</v>
      </c>
      <c r="B2581" s="162">
        <v>44674</v>
      </c>
      <c r="C2581" s="141">
        <v>10.399999999999999</v>
      </c>
      <c r="D2581" s="141">
        <v>26581.700000000019</v>
      </c>
      <c r="E2581" s="142"/>
      <c r="F2581" s="115"/>
      <c r="G2581" s="141"/>
      <c r="J2581" s="141">
        <f t="shared" si="81"/>
        <v>1.2400000000000002</v>
      </c>
      <c r="K2581" s="141">
        <f t="shared" si="82"/>
        <v>85675.080000000162</v>
      </c>
    </row>
    <row r="2582" spans="1:11">
      <c r="A2582" s="141">
        <v>2582</v>
      </c>
      <c r="B2582" s="162">
        <v>44675</v>
      </c>
      <c r="C2582" s="141">
        <v>8.5</v>
      </c>
      <c r="D2582" s="141">
        <v>26590.200000000019</v>
      </c>
      <c r="E2582" s="142"/>
      <c r="F2582" s="141"/>
      <c r="G2582" s="141"/>
      <c r="J2582" s="141">
        <f t="shared" si="81"/>
        <v>1.5249999999999999</v>
      </c>
      <c r="K2582" s="141">
        <f t="shared" si="82"/>
        <v>85711.680000000168</v>
      </c>
    </row>
    <row r="2583" spans="1:11">
      <c r="A2583" s="141">
        <v>2583</v>
      </c>
      <c r="B2583" s="162">
        <v>44676</v>
      </c>
      <c r="C2583" s="141">
        <v>7.6000000000000014</v>
      </c>
      <c r="D2583" s="141">
        <v>26597.800000000017</v>
      </c>
      <c r="E2583" s="142"/>
      <c r="F2583" s="115"/>
      <c r="G2583" s="141"/>
      <c r="J2583" s="141">
        <f t="shared" si="81"/>
        <v>1.66</v>
      </c>
      <c r="K2583" s="141">
        <f t="shared" si="82"/>
        <v>85751.520000000164</v>
      </c>
    </row>
    <row r="2584" spans="1:11">
      <c r="A2584" s="141">
        <v>2584</v>
      </c>
      <c r="B2584" s="162">
        <v>44677</v>
      </c>
      <c r="C2584" s="141">
        <v>8.5</v>
      </c>
      <c r="D2584" s="141">
        <v>26606.300000000017</v>
      </c>
      <c r="E2584" s="142"/>
      <c r="F2584" s="115"/>
      <c r="G2584" s="141"/>
      <c r="J2584" s="141">
        <f t="shared" si="81"/>
        <v>1.5249999999999999</v>
      </c>
      <c r="K2584" s="141">
        <f t="shared" si="82"/>
        <v>85788.12000000017</v>
      </c>
    </row>
    <row r="2585" spans="1:11">
      <c r="A2585" s="141">
        <v>2585</v>
      </c>
      <c r="B2585" s="162">
        <v>44678</v>
      </c>
      <c r="C2585" s="141">
        <v>11</v>
      </c>
      <c r="D2585" s="141">
        <v>26617.300000000017</v>
      </c>
      <c r="E2585" s="142"/>
      <c r="F2585" s="141"/>
      <c r="G2585" s="141"/>
      <c r="J2585" s="141">
        <f t="shared" si="81"/>
        <v>1.1499999999999999</v>
      </c>
      <c r="K2585" s="141">
        <f t="shared" si="82"/>
        <v>85815.720000000176</v>
      </c>
    </row>
    <row r="2586" spans="1:11">
      <c r="A2586" s="141">
        <v>2586</v>
      </c>
      <c r="B2586" s="162">
        <v>44679</v>
      </c>
      <c r="C2586" s="141">
        <v>12</v>
      </c>
      <c r="D2586" s="141">
        <v>26629.300000000017</v>
      </c>
      <c r="E2586" s="142"/>
      <c r="F2586" s="115"/>
      <c r="G2586" s="141"/>
      <c r="J2586" s="141">
        <f t="shared" si="81"/>
        <v>1</v>
      </c>
      <c r="K2586" s="141">
        <f t="shared" si="82"/>
        <v>85839.720000000176</v>
      </c>
    </row>
    <row r="2587" spans="1:11">
      <c r="A2587" s="141">
        <v>2587</v>
      </c>
      <c r="B2587" s="162">
        <v>44680</v>
      </c>
      <c r="C2587" s="141">
        <v>11.2</v>
      </c>
      <c r="D2587" s="141">
        <v>26640.500000000018</v>
      </c>
      <c r="E2587" s="142"/>
      <c r="F2587" s="141"/>
      <c r="G2587" s="141"/>
      <c r="J2587" s="141">
        <f t="shared" si="81"/>
        <v>1.1200000000000001</v>
      </c>
      <c r="K2587" s="141">
        <f t="shared" si="82"/>
        <v>85866.60000000018</v>
      </c>
    </row>
    <row r="2588" spans="1:11">
      <c r="A2588" s="141">
        <v>2588</v>
      </c>
      <c r="B2588" s="162">
        <v>44681</v>
      </c>
      <c r="C2588" s="141">
        <v>11.600000000000001</v>
      </c>
      <c r="D2588" s="141">
        <v>26652.100000000017</v>
      </c>
      <c r="E2588" s="142"/>
      <c r="F2588" s="115"/>
      <c r="G2588" s="141"/>
      <c r="J2588" s="141">
        <f t="shared" si="81"/>
        <v>1.0599999999999998</v>
      </c>
      <c r="K2588" s="141">
        <f t="shared" si="82"/>
        <v>85892.040000000183</v>
      </c>
    </row>
    <row r="2589" spans="1:11">
      <c r="A2589" s="141">
        <v>2589</v>
      </c>
      <c r="B2589" s="162">
        <v>44682</v>
      </c>
      <c r="C2589" s="141">
        <v>12.600000000000001</v>
      </c>
      <c r="D2589" s="141">
        <v>26664.700000000015</v>
      </c>
      <c r="E2589" s="142"/>
      <c r="F2589" s="141"/>
      <c r="G2589" s="141"/>
      <c r="J2589" s="141">
        <f t="shared" si="81"/>
        <v>0.90999999999999981</v>
      </c>
      <c r="K2589" s="141">
        <f t="shared" si="82"/>
        <v>85913.880000000179</v>
      </c>
    </row>
    <row r="2590" spans="1:11">
      <c r="A2590" s="141">
        <v>2590</v>
      </c>
      <c r="B2590" s="162">
        <v>44683</v>
      </c>
      <c r="C2590" s="141">
        <v>14.3</v>
      </c>
      <c r="D2590" s="141">
        <v>26679.000000000015</v>
      </c>
      <c r="E2590" s="142"/>
      <c r="F2590" s="115"/>
      <c r="G2590" s="141"/>
      <c r="J2590" s="141">
        <f t="shared" si="81"/>
        <v>0.65499999999999992</v>
      </c>
      <c r="K2590" s="141">
        <f t="shared" si="82"/>
        <v>85929.60000000018</v>
      </c>
    </row>
    <row r="2591" spans="1:11">
      <c r="A2591" s="141">
        <v>2591</v>
      </c>
      <c r="B2591" s="162">
        <v>44684</v>
      </c>
      <c r="C2591" s="141">
        <v>14.8</v>
      </c>
      <c r="D2591" s="141">
        <v>26693.800000000014</v>
      </c>
      <c r="E2591" s="142"/>
      <c r="F2591" s="115"/>
      <c r="G2591" s="141"/>
      <c r="J2591" s="141">
        <f t="shared" si="81"/>
        <v>0.57999999999999985</v>
      </c>
      <c r="K2591" s="141">
        <f t="shared" si="82"/>
        <v>85943.520000000179</v>
      </c>
    </row>
    <row r="2592" spans="1:11">
      <c r="A2592" s="141">
        <v>2592</v>
      </c>
      <c r="B2592" s="162">
        <v>44685</v>
      </c>
      <c r="C2592" s="141">
        <v>14.7</v>
      </c>
      <c r="D2592" s="141">
        <v>26708.500000000015</v>
      </c>
      <c r="E2592" s="142"/>
      <c r="F2592" s="141"/>
      <c r="G2592" s="141"/>
      <c r="J2592" s="141">
        <f t="shared" si="81"/>
        <v>0.59500000000000008</v>
      </c>
      <c r="K2592" s="141">
        <f t="shared" si="82"/>
        <v>85957.800000000178</v>
      </c>
    </row>
    <row r="2593" spans="1:11">
      <c r="A2593" s="141">
        <v>2593</v>
      </c>
      <c r="B2593" s="162">
        <v>44686</v>
      </c>
      <c r="C2593" s="141">
        <v>14.1</v>
      </c>
      <c r="D2593" s="141">
        <v>26722.600000000013</v>
      </c>
      <c r="E2593" s="142"/>
      <c r="F2593" s="115"/>
      <c r="G2593" s="141"/>
      <c r="J2593" s="141">
        <f t="shared" si="81"/>
        <v>0.68500000000000005</v>
      </c>
      <c r="K2593" s="141">
        <f t="shared" si="82"/>
        <v>85974.24000000018</v>
      </c>
    </row>
    <row r="2594" spans="1:11">
      <c r="A2594" s="141">
        <v>2594</v>
      </c>
      <c r="B2594" s="162">
        <v>44687</v>
      </c>
      <c r="C2594" s="141">
        <v>14.3</v>
      </c>
      <c r="D2594" s="141">
        <v>26736.900000000012</v>
      </c>
      <c r="E2594" s="142"/>
      <c r="F2594" s="141"/>
      <c r="G2594" s="141"/>
      <c r="J2594" s="141">
        <f t="shared" si="81"/>
        <v>0.65499999999999992</v>
      </c>
      <c r="K2594" s="141">
        <f t="shared" si="82"/>
        <v>85989.960000000181</v>
      </c>
    </row>
    <row r="2595" spans="1:11">
      <c r="A2595" s="141">
        <v>2595</v>
      </c>
      <c r="B2595" s="162">
        <v>44688</v>
      </c>
      <c r="C2595" s="141">
        <v>14.6</v>
      </c>
      <c r="D2595" s="141">
        <v>26751.500000000011</v>
      </c>
      <c r="E2595" s="142"/>
      <c r="F2595" s="115"/>
      <c r="G2595" s="141"/>
      <c r="J2595" s="141">
        <f t="shared" si="81"/>
        <v>0.6100000000000001</v>
      </c>
      <c r="K2595" s="141">
        <f t="shared" si="82"/>
        <v>86004.60000000018</v>
      </c>
    </row>
    <row r="2596" spans="1:11">
      <c r="A2596" s="141">
        <v>2596</v>
      </c>
      <c r="B2596" s="162">
        <v>44689</v>
      </c>
      <c r="C2596" s="141">
        <v>14.7</v>
      </c>
      <c r="D2596" s="141">
        <v>26766.200000000012</v>
      </c>
      <c r="E2596" s="142"/>
      <c r="F2596" s="141"/>
      <c r="G2596" s="141"/>
      <c r="J2596" s="141">
        <f t="shared" si="81"/>
        <v>0.59500000000000008</v>
      </c>
      <c r="K2596" s="141">
        <f t="shared" si="82"/>
        <v>86018.880000000179</v>
      </c>
    </row>
    <row r="2597" spans="1:11">
      <c r="A2597" s="141">
        <v>2597</v>
      </c>
      <c r="B2597" s="162">
        <v>44690</v>
      </c>
      <c r="C2597" s="141">
        <v>16.3</v>
      </c>
      <c r="D2597" s="141">
        <v>26782.500000000011</v>
      </c>
      <c r="E2597" s="142"/>
      <c r="F2597" s="115"/>
      <c r="G2597" s="141"/>
      <c r="J2597" s="141">
        <f t="shared" si="81"/>
        <v>0.35499999999999987</v>
      </c>
      <c r="K2597" s="141">
        <f t="shared" si="82"/>
        <v>86027.400000000183</v>
      </c>
    </row>
    <row r="2598" spans="1:11">
      <c r="A2598" s="141">
        <v>2598</v>
      </c>
      <c r="B2598" s="162">
        <v>44691</v>
      </c>
      <c r="C2598" s="141">
        <v>17</v>
      </c>
      <c r="D2598" s="141">
        <v>26799.500000000011</v>
      </c>
      <c r="E2598" s="142"/>
      <c r="F2598" s="141"/>
      <c r="G2598" s="141"/>
      <c r="J2598" s="141">
        <f t="shared" si="81"/>
        <v>0.25</v>
      </c>
      <c r="K2598" s="141">
        <f t="shared" si="82"/>
        <v>86033.400000000183</v>
      </c>
    </row>
    <row r="2599" spans="1:11">
      <c r="A2599" s="141">
        <v>2599</v>
      </c>
      <c r="B2599" s="162">
        <v>44692</v>
      </c>
      <c r="C2599" s="141">
        <v>21</v>
      </c>
      <c r="D2599" s="141">
        <v>26820.500000000011</v>
      </c>
      <c r="E2599" s="142"/>
      <c r="F2599" s="115"/>
      <c r="G2599" s="141"/>
      <c r="J2599" s="141">
        <f t="shared" si="81"/>
        <v>0.25</v>
      </c>
      <c r="K2599" s="141">
        <f t="shared" si="82"/>
        <v>86039.400000000183</v>
      </c>
    </row>
    <row r="2600" spans="1:11">
      <c r="A2600" s="141">
        <v>2600</v>
      </c>
      <c r="B2600" s="162">
        <v>44693</v>
      </c>
      <c r="C2600" s="141">
        <v>20.5</v>
      </c>
      <c r="D2600" s="141">
        <v>26841.000000000011</v>
      </c>
      <c r="E2600" s="142"/>
      <c r="F2600" s="115"/>
      <c r="G2600" s="141"/>
      <c r="J2600" s="141">
        <f t="shared" si="81"/>
        <v>0.25</v>
      </c>
      <c r="K2600" s="141">
        <f t="shared" si="82"/>
        <v>86045.400000000183</v>
      </c>
    </row>
    <row r="2601" spans="1:11">
      <c r="A2601" s="141">
        <v>2601</v>
      </c>
      <c r="B2601" s="162">
        <v>44694</v>
      </c>
      <c r="C2601" s="141">
        <v>17.5</v>
      </c>
      <c r="D2601" s="141">
        <v>26858.500000000011</v>
      </c>
      <c r="E2601" s="142"/>
      <c r="F2601" s="141"/>
      <c r="G2601" s="141"/>
      <c r="J2601" s="141">
        <f t="shared" si="81"/>
        <v>0.25</v>
      </c>
      <c r="K2601" s="141">
        <f t="shared" si="82"/>
        <v>86051.400000000183</v>
      </c>
    </row>
    <row r="2602" spans="1:11">
      <c r="A2602" s="141">
        <v>2602</v>
      </c>
      <c r="B2602" s="162">
        <v>44695</v>
      </c>
      <c r="C2602" s="141">
        <v>15.6</v>
      </c>
      <c r="D2602" s="141">
        <v>26874.100000000009</v>
      </c>
      <c r="E2602" s="142"/>
      <c r="F2602" s="141"/>
      <c r="G2602" s="141"/>
      <c r="J2602" s="141">
        <f t="shared" si="81"/>
        <v>0.46000000000000008</v>
      </c>
      <c r="K2602" s="141">
        <f t="shared" si="82"/>
        <v>86062.440000000177</v>
      </c>
    </row>
    <row r="2603" spans="1:11">
      <c r="A2603" s="141">
        <v>2603</v>
      </c>
      <c r="B2603" s="162">
        <v>44696</v>
      </c>
      <c r="C2603" s="141">
        <v>16.3</v>
      </c>
      <c r="D2603" s="141">
        <v>26890.400000000009</v>
      </c>
      <c r="E2603" s="142"/>
      <c r="F2603" s="141"/>
      <c r="G2603" s="141"/>
      <c r="J2603" s="141">
        <f t="shared" si="81"/>
        <v>0.35499999999999987</v>
      </c>
      <c r="K2603" s="141">
        <f t="shared" si="82"/>
        <v>86070.960000000181</v>
      </c>
    </row>
    <row r="2604" spans="1:11">
      <c r="A2604" s="141">
        <v>2604</v>
      </c>
      <c r="B2604" s="162">
        <v>44697</v>
      </c>
      <c r="C2604" s="141">
        <v>17.899999999999999</v>
      </c>
      <c r="D2604" s="141">
        <v>26908.30000000001</v>
      </c>
      <c r="E2604" s="142"/>
      <c r="F2604" s="141"/>
      <c r="G2604" s="141"/>
      <c r="J2604" s="141">
        <f t="shared" si="81"/>
        <v>0.25</v>
      </c>
      <c r="K2604" s="141">
        <f t="shared" si="82"/>
        <v>86076.960000000181</v>
      </c>
    </row>
    <row r="2605" spans="1:11">
      <c r="A2605" s="141">
        <v>2605</v>
      </c>
      <c r="B2605" s="162">
        <v>44698</v>
      </c>
      <c r="C2605" s="141">
        <v>16.2</v>
      </c>
      <c r="D2605" s="141">
        <v>26924.500000000011</v>
      </c>
      <c r="E2605" s="142"/>
      <c r="F2605" s="143"/>
      <c r="G2605" s="141"/>
      <c r="J2605" s="141">
        <f t="shared" si="81"/>
        <v>0.37000000000000011</v>
      </c>
      <c r="K2605" s="141">
        <f t="shared" si="82"/>
        <v>86085.840000000186</v>
      </c>
    </row>
    <row r="2606" spans="1:11">
      <c r="A2606" s="141">
        <v>2606</v>
      </c>
      <c r="B2606" s="162">
        <v>44699</v>
      </c>
      <c r="C2606" s="141">
        <v>16.2</v>
      </c>
      <c r="D2606" s="141">
        <v>26940.700000000012</v>
      </c>
      <c r="E2606" s="142"/>
      <c r="F2606" s="143"/>
      <c r="G2606" s="141"/>
      <c r="J2606" s="141">
        <f t="shared" si="81"/>
        <v>0.37000000000000011</v>
      </c>
      <c r="K2606" s="141">
        <f t="shared" si="82"/>
        <v>86094.72000000019</v>
      </c>
    </row>
    <row r="2607" spans="1:11">
      <c r="A2607" s="141">
        <v>2607</v>
      </c>
      <c r="B2607" s="162">
        <v>44700</v>
      </c>
      <c r="C2607" s="141">
        <v>18.5</v>
      </c>
      <c r="D2607" s="141">
        <v>26959.200000000012</v>
      </c>
      <c r="E2607" s="142"/>
      <c r="F2607" s="143"/>
      <c r="G2607" s="141"/>
      <c r="J2607" s="141">
        <f t="shared" si="81"/>
        <v>0.25</v>
      </c>
      <c r="K2607" s="141">
        <f t="shared" si="82"/>
        <v>86100.72000000019</v>
      </c>
    </row>
    <row r="2608" spans="1:11">
      <c r="A2608" s="141">
        <v>2608</v>
      </c>
      <c r="B2608" s="162">
        <v>44701</v>
      </c>
      <c r="C2608" s="141">
        <v>22.3</v>
      </c>
      <c r="D2608" s="141">
        <v>26981.500000000011</v>
      </c>
      <c r="E2608" s="142"/>
      <c r="F2608" s="141"/>
      <c r="G2608" s="141"/>
      <c r="J2608" s="141">
        <f t="shared" si="81"/>
        <v>0.25</v>
      </c>
      <c r="K2608" s="141">
        <f t="shared" si="82"/>
        <v>86106.72000000019</v>
      </c>
    </row>
    <row r="2609" spans="1:14">
      <c r="A2609" s="141">
        <v>2609</v>
      </c>
      <c r="B2609" s="162">
        <v>44702</v>
      </c>
      <c r="C2609" s="141">
        <v>17.399999999999999</v>
      </c>
      <c r="D2609" s="141">
        <v>26998.900000000012</v>
      </c>
      <c r="E2609" s="142"/>
      <c r="F2609" s="115"/>
      <c r="G2609" s="141"/>
      <c r="J2609" s="141">
        <f t="shared" si="81"/>
        <v>0.25</v>
      </c>
      <c r="K2609" s="141">
        <f t="shared" si="82"/>
        <v>86112.72000000019</v>
      </c>
    </row>
    <row r="2610" spans="1:14">
      <c r="A2610" s="141">
        <v>2610</v>
      </c>
      <c r="B2610" s="162">
        <v>44703</v>
      </c>
      <c r="C2610" s="141">
        <v>15.9</v>
      </c>
      <c r="D2610" s="141">
        <v>27014.800000000014</v>
      </c>
      <c r="E2610" s="142"/>
      <c r="F2610" s="115"/>
      <c r="G2610" s="141"/>
      <c r="J2610" s="141">
        <f t="shared" si="81"/>
        <v>0.41499999999999992</v>
      </c>
      <c r="K2610" s="141">
        <f t="shared" si="82"/>
        <v>86122.680000000197</v>
      </c>
    </row>
    <row r="2611" spans="1:14">
      <c r="A2611" s="141">
        <v>2611</v>
      </c>
      <c r="B2611" s="162">
        <v>44704</v>
      </c>
      <c r="C2611" s="141">
        <v>16.5</v>
      </c>
      <c r="D2611" s="141">
        <v>27031.300000000014</v>
      </c>
      <c r="E2611" s="142"/>
      <c r="F2611" s="115"/>
      <c r="G2611" s="141"/>
      <c r="J2611" s="141">
        <f t="shared" si="81"/>
        <v>0.32500000000000001</v>
      </c>
      <c r="K2611" s="141">
        <f t="shared" si="82"/>
        <v>86130.4800000002</v>
      </c>
    </row>
    <row r="2612" spans="1:14">
      <c r="A2612" s="141">
        <v>2612</v>
      </c>
      <c r="B2612" s="162">
        <v>44705</v>
      </c>
      <c r="C2612" s="141">
        <v>17.5</v>
      </c>
      <c r="D2612" s="141">
        <v>27048.800000000014</v>
      </c>
      <c r="E2612" s="142"/>
      <c r="F2612" s="141"/>
      <c r="G2612" s="141"/>
      <c r="J2612" s="141">
        <f t="shared" si="81"/>
        <v>0.25</v>
      </c>
      <c r="K2612" s="141">
        <f t="shared" si="82"/>
        <v>86136.4800000002</v>
      </c>
    </row>
    <row r="2613" spans="1:14">
      <c r="A2613" s="141">
        <v>2613</v>
      </c>
      <c r="B2613" s="162">
        <v>44706</v>
      </c>
      <c r="C2613" s="141">
        <v>15.3</v>
      </c>
      <c r="D2613" s="141">
        <v>27064.100000000013</v>
      </c>
      <c r="E2613" s="142"/>
      <c r="F2613" s="141"/>
      <c r="G2613" s="141"/>
      <c r="J2613" s="141">
        <f t="shared" si="81"/>
        <v>0.50499999999999989</v>
      </c>
      <c r="K2613" s="141">
        <f t="shared" si="82"/>
        <v>86148.600000000195</v>
      </c>
    </row>
    <row r="2614" spans="1:14">
      <c r="A2614" s="141">
        <v>2614</v>
      </c>
      <c r="B2614" s="162">
        <v>44707</v>
      </c>
      <c r="C2614" s="141">
        <v>16.7</v>
      </c>
      <c r="D2614" s="141">
        <v>27080.800000000014</v>
      </c>
      <c r="E2614" s="142"/>
      <c r="F2614" s="141"/>
      <c r="G2614" s="141"/>
      <c r="J2614" s="141">
        <f t="shared" si="81"/>
        <v>0.2950000000000001</v>
      </c>
      <c r="K2614" s="141">
        <f t="shared" si="82"/>
        <v>86155.680000000197</v>
      </c>
    </row>
    <row r="2615" spans="1:14">
      <c r="A2615" s="141">
        <v>2615</v>
      </c>
      <c r="B2615" s="162">
        <v>44708</v>
      </c>
      <c r="C2615" s="141">
        <v>14.8</v>
      </c>
      <c r="D2615" s="141">
        <v>27095.600000000013</v>
      </c>
      <c r="E2615" s="142"/>
      <c r="F2615" s="141"/>
      <c r="G2615" s="141"/>
      <c r="J2615" s="141">
        <f t="shared" si="81"/>
        <v>0.57999999999999985</v>
      </c>
      <c r="K2615" s="141">
        <f t="shared" si="82"/>
        <v>86169.600000000195</v>
      </c>
      <c r="M2615" s="141"/>
      <c r="N2615" s="141"/>
    </row>
    <row r="2616" spans="1:14">
      <c r="A2616" s="141">
        <v>2616</v>
      </c>
      <c r="B2616" s="162">
        <v>44709</v>
      </c>
      <c r="C2616" s="141">
        <v>12.2</v>
      </c>
      <c r="D2616" s="141">
        <v>27107.800000000014</v>
      </c>
      <c r="E2616" s="142"/>
      <c r="F2616" s="141"/>
      <c r="G2616" s="141"/>
      <c r="J2616" s="141">
        <f t="shared" si="81"/>
        <v>0.97000000000000008</v>
      </c>
      <c r="K2616" s="141">
        <f t="shared" si="82"/>
        <v>86192.880000000194</v>
      </c>
    </row>
    <row r="2617" spans="1:14">
      <c r="A2617" s="141">
        <v>2617</v>
      </c>
      <c r="B2617" s="162">
        <v>44710</v>
      </c>
      <c r="C2617" s="141">
        <v>10.199999999999999</v>
      </c>
      <c r="D2617" s="141">
        <v>27118.000000000015</v>
      </c>
      <c r="E2617" s="142"/>
      <c r="F2617" s="141"/>
      <c r="G2617" s="141"/>
      <c r="J2617" s="141">
        <f t="shared" si="81"/>
        <v>1.27</v>
      </c>
      <c r="K2617" s="141">
        <f t="shared" si="82"/>
        <v>86223.36000000019</v>
      </c>
    </row>
    <row r="2618" spans="1:14">
      <c r="A2618" s="141">
        <v>2618</v>
      </c>
      <c r="B2618" s="162">
        <v>44711</v>
      </c>
      <c r="C2618" s="141">
        <v>11.3</v>
      </c>
      <c r="D2618" s="141">
        <v>27129.300000000014</v>
      </c>
      <c r="E2618" s="142"/>
      <c r="F2618" s="141"/>
      <c r="G2618" s="141"/>
      <c r="J2618" s="141">
        <f t="shared" si="81"/>
        <v>1.105</v>
      </c>
      <c r="K2618" s="141">
        <f t="shared" si="82"/>
        <v>86249.880000000194</v>
      </c>
    </row>
    <row r="2619" spans="1:14">
      <c r="A2619" s="141">
        <v>2619</v>
      </c>
      <c r="B2619" s="162">
        <v>44712</v>
      </c>
      <c r="C2619" s="141">
        <v>14.4</v>
      </c>
      <c r="D2619" s="141">
        <v>27143.700000000015</v>
      </c>
      <c r="J2619" s="141">
        <f t="shared" si="81"/>
        <v>0.6399999999999999</v>
      </c>
      <c r="K2619" s="141">
        <f t="shared" si="82"/>
        <v>86265.240000000194</v>
      </c>
    </row>
    <row r="2620" spans="1:14">
      <c r="A2620" s="141">
        <v>2620</v>
      </c>
      <c r="B2620" s="162">
        <v>44713</v>
      </c>
      <c r="C2620" s="141">
        <v>17.5</v>
      </c>
      <c r="D2620" s="141">
        <v>27161.200000000015</v>
      </c>
      <c r="J2620" s="141">
        <f t="shared" si="81"/>
        <v>0.25</v>
      </c>
      <c r="K2620" s="141">
        <f t="shared" si="82"/>
        <v>86271.240000000194</v>
      </c>
    </row>
    <row r="2621" spans="1:14">
      <c r="A2621" s="141">
        <v>2621</v>
      </c>
      <c r="B2621" s="162">
        <v>44714</v>
      </c>
      <c r="C2621" s="141">
        <v>16.399999999999999</v>
      </c>
      <c r="D2621" s="141">
        <v>27177.600000000017</v>
      </c>
      <c r="J2621" s="141">
        <f t="shared" si="81"/>
        <v>0.34000000000000019</v>
      </c>
      <c r="K2621" s="141">
        <f t="shared" si="82"/>
        <v>86279.400000000198</v>
      </c>
    </row>
    <row r="2622" spans="1:14">
      <c r="A2622" s="141">
        <v>2622</v>
      </c>
      <c r="B2622" s="162">
        <v>44715</v>
      </c>
      <c r="C2622" s="141">
        <v>18.899999999999999</v>
      </c>
      <c r="D2622" s="141">
        <v>27196.500000000018</v>
      </c>
      <c r="J2622" s="141">
        <f t="shared" si="81"/>
        <v>0.25</v>
      </c>
      <c r="K2622" s="141">
        <f t="shared" si="82"/>
        <v>86285.400000000198</v>
      </c>
    </row>
    <row r="2623" spans="1:14">
      <c r="A2623" s="141">
        <v>2623</v>
      </c>
      <c r="B2623" s="162">
        <v>44716</v>
      </c>
      <c r="C2623" s="141">
        <v>19.600000000000001</v>
      </c>
      <c r="D2623" s="141">
        <v>27216.100000000017</v>
      </c>
      <c r="J2623" s="141">
        <f t="shared" si="81"/>
        <v>0.25</v>
      </c>
      <c r="K2623" s="141">
        <f t="shared" si="82"/>
        <v>86291.400000000198</v>
      </c>
    </row>
    <row r="2624" spans="1:14">
      <c r="A2624" s="141">
        <v>2624</v>
      </c>
      <c r="B2624" s="162">
        <v>44717</v>
      </c>
      <c r="C2624" s="141">
        <v>20.5</v>
      </c>
      <c r="D2624" s="141">
        <v>27236.600000000017</v>
      </c>
      <c r="J2624" s="141">
        <f t="shared" si="81"/>
        <v>0.25</v>
      </c>
      <c r="K2624" s="141">
        <f t="shared" si="82"/>
        <v>86297.400000000198</v>
      </c>
    </row>
    <row r="2625" spans="1:11">
      <c r="A2625" s="141">
        <v>2625</v>
      </c>
      <c r="B2625" s="162">
        <v>44718</v>
      </c>
      <c r="C2625" s="141">
        <v>20.7</v>
      </c>
      <c r="D2625" s="141">
        <v>27257.300000000017</v>
      </c>
      <c r="J2625" s="141">
        <f t="shared" si="81"/>
        <v>0.25</v>
      </c>
      <c r="K2625" s="141">
        <f t="shared" si="82"/>
        <v>86303.400000000198</v>
      </c>
    </row>
    <row r="2626" spans="1:11">
      <c r="A2626" s="141">
        <v>2626</v>
      </c>
      <c r="B2626" s="162">
        <v>44719</v>
      </c>
      <c r="C2626" s="141">
        <v>17.2</v>
      </c>
      <c r="D2626" s="141">
        <v>27274.500000000018</v>
      </c>
      <c r="J2626" s="141">
        <f t="shared" si="81"/>
        <v>0.25</v>
      </c>
      <c r="K2626" s="141">
        <f t="shared" si="82"/>
        <v>86309.400000000198</v>
      </c>
    </row>
    <row r="2627" spans="1:11">
      <c r="A2627" s="141">
        <v>2627</v>
      </c>
      <c r="B2627" s="162">
        <v>44720</v>
      </c>
      <c r="C2627" s="141">
        <v>18.7</v>
      </c>
      <c r="D2627" s="141">
        <v>27293.200000000019</v>
      </c>
      <c r="J2627" s="141">
        <f t="shared" si="81"/>
        <v>0.25</v>
      </c>
      <c r="K2627" s="141">
        <f t="shared" si="82"/>
        <v>86315.400000000198</v>
      </c>
    </row>
    <row r="2628" spans="1:11">
      <c r="A2628" s="141">
        <v>2628</v>
      </c>
      <c r="B2628" s="162">
        <v>44721</v>
      </c>
      <c r="C2628" s="141">
        <v>17.100000000000001</v>
      </c>
      <c r="D2628" s="141">
        <v>27310.300000000017</v>
      </c>
      <c r="J2628" s="141">
        <f t="shared" si="81"/>
        <v>0.25</v>
      </c>
      <c r="K2628" s="141">
        <f t="shared" si="82"/>
        <v>86321.400000000198</v>
      </c>
    </row>
    <row r="2629" spans="1:11">
      <c r="A2629" s="141">
        <v>2629</v>
      </c>
      <c r="B2629" s="162">
        <v>44722</v>
      </c>
      <c r="C2629" s="141">
        <v>18.7</v>
      </c>
      <c r="D2629" s="141">
        <v>27329.000000000018</v>
      </c>
      <c r="J2629" s="141">
        <f t="shared" si="81"/>
        <v>0.25</v>
      </c>
      <c r="K2629" s="141">
        <f t="shared" si="82"/>
        <v>86327.400000000198</v>
      </c>
    </row>
    <row r="2630" spans="1:11">
      <c r="A2630" s="141">
        <v>2630</v>
      </c>
      <c r="B2630" s="162">
        <v>44723</v>
      </c>
      <c r="C2630" s="141">
        <v>20.100000000000001</v>
      </c>
      <c r="D2630" s="141">
        <v>27349.100000000017</v>
      </c>
      <c r="J2630" s="141">
        <f t="shared" si="81"/>
        <v>0.25</v>
      </c>
      <c r="K2630" s="141">
        <f t="shared" si="82"/>
        <v>86333.400000000198</v>
      </c>
    </row>
    <row r="2631" spans="1:11">
      <c r="A2631" s="141">
        <v>2631</v>
      </c>
      <c r="B2631" s="162">
        <v>44724</v>
      </c>
      <c r="C2631" s="141">
        <v>22.5</v>
      </c>
      <c r="D2631" s="141">
        <v>27371.600000000017</v>
      </c>
      <c r="J2631" s="141">
        <f t="shared" ref="J2631:J2678" si="83">J$1+(IF(J$3-$C2631&gt;0,J$3-$C2631,0)*J$2/30)</f>
        <v>0.25</v>
      </c>
      <c r="K2631" s="141">
        <f t="shared" ref="K2631:K2634" si="84">K2630+J2631*24</f>
        <v>86339.400000000198</v>
      </c>
    </row>
    <row r="2632" spans="1:11">
      <c r="A2632" s="141">
        <v>2632</v>
      </c>
      <c r="B2632" s="162">
        <v>44725</v>
      </c>
      <c r="C2632" s="141">
        <v>17.399999999999999</v>
      </c>
      <c r="D2632" s="141">
        <v>27389.000000000018</v>
      </c>
      <c r="J2632" s="141">
        <f t="shared" si="83"/>
        <v>0.25</v>
      </c>
      <c r="K2632" s="141">
        <f t="shared" si="84"/>
        <v>86345.400000000198</v>
      </c>
    </row>
    <row r="2633" spans="1:11">
      <c r="A2633" s="141">
        <v>2633</v>
      </c>
      <c r="B2633" s="162">
        <v>44726</v>
      </c>
      <c r="C2633" s="141">
        <v>16.100000000000001</v>
      </c>
      <c r="D2633" s="141">
        <v>27405.100000000017</v>
      </c>
      <c r="J2633" s="141">
        <f t="shared" si="83"/>
        <v>0.38499999999999979</v>
      </c>
      <c r="K2633" s="141">
        <f t="shared" si="84"/>
        <v>86354.640000000203</v>
      </c>
    </row>
    <row r="2634" spans="1:11">
      <c r="A2634" s="141">
        <v>2634</v>
      </c>
      <c r="B2634" s="162">
        <v>44727</v>
      </c>
      <c r="C2634" s="141">
        <v>19</v>
      </c>
      <c r="D2634" s="141">
        <v>27424.100000000017</v>
      </c>
      <c r="J2634" s="141">
        <f t="shared" si="83"/>
        <v>0.25</v>
      </c>
      <c r="K2634" s="141">
        <f t="shared" si="84"/>
        <v>86360.640000000203</v>
      </c>
    </row>
    <row r="2635" spans="1:11">
      <c r="A2635" s="141">
        <v>2635</v>
      </c>
      <c r="B2635" s="162">
        <v>44728</v>
      </c>
      <c r="C2635" s="138">
        <v>30</v>
      </c>
      <c r="J2635" s="141">
        <f t="shared" si="83"/>
        <v>0.25</v>
      </c>
      <c r="K2635" s="141">
        <f t="shared" ref="K2635:K2678" si="85">K2634+J2635*24</f>
        <v>86366.640000000203</v>
      </c>
    </row>
    <row r="2636" spans="1:11">
      <c r="A2636" s="141">
        <v>2636</v>
      </c>
      <c r="B2636" s="162">
        <v>44729</v>
      </c>
      <c r="C2636" s="141">
        <v>30</v>
      </c>
      <c r="J2636" s="141">
        <f t="shared" si="83"/>
        <v>0.25</v>
      </c>
      <c r="K2636" s="141">
        <f t="shared" si="85"/>
        <v>86372.640000000203</v>
      </c>
    </row>
    <row r="2637" spans="1:11">
      <c r="A2637" s="141">
        <v>2637</v>
      </c>
      <c r="B2637" s="162">
        <v>44730</v>
      </c>
      <c r="C2637" s="141">
        <v>30</v>
      </c>
      <c r="J2637" s="141">
        <f t="shared" si="83"/>
        <v>0.25</v>
      </c>
      <c r="K2637" s="141">
        <f t="shared" si="85"/>
        <v>86378.640000000203</v>
      </c>
    </row>
    <row r="2638" spans="1:11">
      <c r="A2638" s="141">
        <v>2638</v>
      </c>
      <c r="B2638" s="162">
        <v>44731</v>
      </c>
      <c r="C2638" s="141">
        <v>30</v>
      </c>
      <c r="J2638" s="141">
        <f t="shared" si="83"/>
        <v>0.25</v>
      </c>
      <c r="K2638" s="141">
        <f t="shared" si="85"/>
        <v>86384.640000000203</v>
      </c>
    </row>
    <row r="2639" spans="1:11">
      <c r="A2639" s="141">
        <v>2639</v>
      </c>
      <c r="B2639" s="162">
        <v>44732</v>
      </c>
      <c r="C2639" s="141">
        <v>30</v>
      </c>
      <c r="J2639" s="141">
        <f t="shared" si="83"/>
        <v>0.25</v>
      </c>
      <c r="K2639" s="141">
        <f t="shared" si="85"/>
        <v>86390.640000000203</v>
      </c>
    </row>
    <row r="2640" spans="1:11">
      <c r="A2640" s="141">
        <v>2640</v>
      </c>
      <c r="B2640" s="162">
        <v>44733</v>
      </c>
      <c r="C2640" s="141">
        <v>30</v>
      </c>
      <c r="J2640" s="141">
        <f t="shared" si="83"/>
        <v>0.25</v>
      </c>
      <c r="K2640" s="141">
        <f t="shared" si="85"/>
        <v>86396.640000000203</v>
      </c>
    </row>
    <row r="2641" spans="1:11">
      <c r="A2641" s="141">
        <v>2641</v>
      </c>
      <c r="B2641" s="162">
        <v>44734</v>
      </c>
      <c r="C2641" s="141">
        <v>30</v>
      </c>
      <c r="J2641" s="141">
        <f t="shared" si="83"/>
        <v>0.25</v>
      </c>
      <c r="K2641" s="141">
        <f t="shared" si="85"/>
        <v>86402.640000000203</v>
      </c>
    </row>
    <row r="2642" spans="1:11">
      <c r="A2642" s="141">
        <v>2642</v>
      </c>
      <c r="B2642" s="162">
        <v>44735</v>
      </c>
      <c r="C2642" s="141">
        <v>30</v>
      </c>
      <c r="J2642" s="141">
        <f t="shared" si="83"/>
        <v>0.25</v>
      </c>
      <c r="K2642" s="141">
        <f t="shared" si="85"/>
        <v>86408.640000000203</v>
      </c>
    </row>
    <row r="2643" spans="1:11">
      <c r="A2643" s="141">
        <v>2643</v>
      </c>
      <c r="B2643" s="162">
        <v>44736</v>
      </c>
      <c r="C2643" s="141">
        <v>30</v>
      </c>
      <c r="J2643" s="141">
        <f t="shared" si="83"/>
        <v>0.25</v>
      </c>
      <c r="K2643" s="141">
        <f t="shared" si="85"/>
        <v>86414.640000000203</v>
      </c>
    </row>
    <row r="2644" spans="1:11">
      <c r="A2644" s="141">
        <v>2644</v>
      </c>
      <c r="B2644" s="162">
        <v>44737</v>
      </c>
      <c r="C2644" s="141">
        <v>30</v>
      </c>
      <c r="J2644" s="141">
        <f t="shared" si="83"/>
        <v>0.25</v>
      </c>
      <c r="K2644" s="141">
        <f t="shared" si="85"/>
        <v>86420.640000000203</v>
      </c>
    </row>
    <row r="2645" spans="1:11">
      <c r="A2645" s="141">
        <v>2645</v>
      </c>
      <c r="B2645" s="162">
        <v>44738</v>
      </c>
      <c r="C2645" s="141">
        <v>30</v>
      </c>
      <c r="J2645" s="141">
        <f t="shared" si="83"/>
        <v>0.25</v>
      </c>
      <c r="K2645" s="141">
        <f t="shared" si="85"/>
        <v>86426.640000000203</v>
      </c>
    </row>
    <row r="2646" spans="1:11">
      <c r="A2646" s="141">
        <v>2646</v>
      </c>
      <c r="B2646" s="162">
        <v>44739</v>
      </c>
      <c r="C2646" s="141">
        <v>30</v>
      </c>
      <c r="J2646" s="141">
        <f t="shared" si="83"/>
        <v>0.25</v>
      </c>
      <c r="K2646" s="141">
        <f t="shared" si="85"/>
        <v>86432.640000000203</v>
      </c>
    </row>
    <row r="2647" spans="1:11">
      <c r="A2647" s="141">
        <v>2647</v>
      </c>
      <c r="B2647" s="162">
        <v>44740</v>
      </c>
      <c r="C2647" s="141">
        <v>30</v>
      </c>
      <c r="J2647" s="141">
        <f t="shared" si="83"/>
        <v>0.25</v>
      </c>
      <c r="K2647" s="141">
        <f t="shared" si="85"/>
        <v>86438.640000000203</v>
      </c>
    </row>
    <row r="2648" spans="1:11">
      <c r="B2648" s="162">
        <v>44741</v>
      </c>
      <c r="C2648" s="141">
        <v>30</v>
      </c>
      <c r="J2648" s="141">
        <f t="shared" si="83"/>
        <v>0.25</v>
      </c>
      <c r="K2648" s="141">
        <f t="shared" si="85"/>
        <v>86444.640000000203</v>
      </c>
    </row>
    <row r="2649" spans="1:11">
      <c r="B2649" s="162">
        <v>44742</v>
      </c>
      <c r="C2649" s="141">
        <v>30</v>
      </c>
      <c r="J2649" s="141">
        <f t="shared" si="83"/>
        <v>0.25</v>
      </c>
      <c r="K2649" s="141">
        <f t="shared" si="85"/>
        <v>86450.640000000203</v>
      </c>
    </row>
    <row r="2650" spans="1:11">
      <c r="B2650" s="162">
        <v>44743</v>
      </c>
      <c r="C2650" s="141">
        <v>30</v>
      </c>
      <c r="J2650" s="141">
        <f t="shared" si="83"/>
        <v>0.25</v>
      </c>
      <c r="K2650" s="141">
        <f t="shared" si="85"/>
        <v>86456.640000000203</v>
      </c>
    </row>
    <row r="2651" spans="1:11">
      <c r="B2651" s="162">
        <v>44744</v>
      </c>
      <c r="C2651" s="141">
        <v>30</v>
      </c>
      <c r="J2651" s="141">
        <f t="shared" si="83"/>
        <v>0.25</v>
      </c>
      <c r="K2651" s="141">
        <f t="shared" si="85"/>
        <v>86462.640000000203</v>
      </c>
    </row>
    <row r="2652" spans="1:11">
      <c r="B2652" s="162">
        <v>44745</v>
      </c>
      <c r="C2652" s="141">
        <v>30</v>
      </c>
      <c r="J2652" s="141">
        <f t="shared" si="83"/>
        <v>0.25</v>
      </c>
      <c r="K2652" s="141">
        <f t="shared" si="85"/>
        <v>86468.640000000203</v>
      </c>
    </row>
    <row r="2653" spans="1:11">
      <c r="B2653" s="162">
        <v>44746</v>
      </c>
      <c r="C2653" s="141">
        <v>30</v>
      </c>
      <c r="J2653" s="141">
        <f t="shared" si="83"/>
        <v>0.25</v>
      </c>
      <c r="K2653" s="141">
        <f t="shared" si="85"/>
        <v>86474.640000000203</v>
      </c>
    </row>
    <row r="2654" spans="1:11">
      <c r="B2654" s="162">
        <v>44747</v>
      </c>
      <c r="C2654" s="141">
        <v>30</v>
      </c>
      <c r="J2654" s="141">
        <f t="shared" si="83"/>
        <v>0.25</v>
      </c>
      <c r="K2654" s="141">
        <f t="shared" si="85"/>
        <v>86480.640000000203</v>
      </c>
    </row>
    <row r="2655" spans="1:11">
      <c r="B2655" s="162">
        <v>44748</v>
      </c>
      <c r="C2655" s="141">
        <v>30</v>
      </c>
      <c r="J2655" s="141">
        <f t="shared" si="83"/>
        <v>0.25</v>
      </c>
      <c r="K2655" s="141">
        <f t="shared" si="85"/>
        <v>86486.640000000203</v>
      </c>
    </row>
    <row r="2656" spans="1:11">
      <c r="B2656" s="162">
        <v>44749</v>
      </c>
      <c r="C2656" s="141">
        <v>30</v>
      </c>
      <c r="J2656" s="141">
        <f t="shared" si="83"/>
        <v>0.25</v>
      </c>
      <c r="K2656" s="141">
        <f t="shared" si="85"/>
        <v>86492.640000000203</v>
      </c>
    </row>
    <row r="2657" spans="2:11">
      <c r="B2657" s="162">
        <v>44750</v>
      </c>
      <c r="C2657" s="141">
        <v>30</v>
      </c>
      <c r="J2657" s="141">
        <f t="shared" si="83"/>
        <v>0.25</v>
      </c>
      <c r="K2657" s="141">
        <f t="shared" si="85"/>
        <v>86498.640000000203</v>
      </c>
    </row>
    <row r="2658" spans="2:11">
      <c r="B2658" s="162">
        <v>44751</v>
      </c>
      <c r="C2658" s="141">
        <v>30</v>
      </c>
      <c r="J2658" s="141">
        <f t="shared" si="83"/>
        <v>0.25</v>
      </c>
      <c r="K2658" s="141">
        <f t="shared" si="85"/>
        <v>86504.640000000203</v>
      </c>
    </row>
    <row r="2659" spans="2:11">
      <c r="B2659" s="162">
        <v>44752</v>
      </c>
      <c r="C2659" s="141">
        <v>30</v>
      </c>
      <c r="J2659" s="141">
        <f t="shared" si="83"/>
        <v>0.25</v>
      </c>
      <c r="K2659" s="141">
        <f t="shared" si="85"/>
        <v>86510.640000000203</v>
      </c>
    </row>
    <row r="2660" spans="2:11">
      <c r="B2660" s="162">
        <v>44753</v>
      </c>
      <c r="C2660" s="141">
        <v>30</v>
      </c>
      <c r="J2660" s="141">
        <f t="shared" si="83"/>
        <v>0.25</v>
      </c>
      <c r="K2660" s="141">
        <f t="shared" si="85"/>
        <v>86516.640000000203</v>
      </c>
    </row>
    <row r="2661" spans="2:11">
      <c r="B2661" s="162">
        <v>44754</v>
      </c>
      <c r="C2661" s="141">
        <v>30</v>
      </c>
      <c r="J2661" s="141">
        <f t="shared" si="83"/>
        <v>0.25</v>
      </c>
      <c r="K2661" s="141">
        <f t="shared" si="85"/>
        <v>86522.640000000203</v>
      </c>
    </row>
    <row r="2662" spans="2:11">
      <c r="B2662" s="162">
        <v>44755</v>
      </c>
      <c r="C2662" s="141">
        <v>30</v>
      </c>
      <c r="J2662" s="141">
        <f t="shared" si="83"/>
        <v>0.25</v>
      </c>
      <c r="K2662" s="141">
        <f t="shared" si="85"/>
        <v>86528.640000000203</v>
      </c>
    </row>
    <row r="2663" spans="2:11">
      <c r="B2663" s="162">
        <v>44756</v>
      </c>
      <c r="C2663" s="141">
        <v>30</v>
      </c>
      <c r="J2663" s="141">
        <f t="shared" si="83"/>
        <v>0.25</v>
      </c>
      <c r="K2663" s="141">
        <f t="shared" si="85"/>
        <v>86534.640000000203</v>
      </c>
    </row>
    <row r="2664" spans="2:11">
      <c r="B2664" s="162">
        <v>44757</v>
      </c>
      <c r="C2664" s="141">
        <v>30</v>
      </c>
      <c r="J2664" s="141">
        <f t="shared" si="83"/>
        <v>0.25</v>
      </c>
      <c r="K2664" s="141">
        <f t="shared" si="85"/>
        <v>86540.640000000203</v>
      </c>
    </row>
    <row r="2665" spans="2:11">
      <c r="B2665" s="162">
        <v>44758</v>
      </c>
      <c r="C2665" s="141">
        <v>30</v>
      </c>
      <c r="J2665" s="141">
        <f t="shared" si="83"/>
        <v>0.25</v>
      </c>
      <c r="K2665" s="141">
        <f t="shared" si="85"/>
        <v>86546.640000000203</v>
      </c>
    </row>
    <row r="2666" spans="2:11">
      <c r="B2666" s="162">
        <v>44759</v>
      </c>
      <c r="C2666" s="141">
        <v>30</v>
      </c>
      <c r="J2666" s="141">
        <f t="shared" si="83"/>
        <v>0.25</v>
      </c>
      <c r="K2666" s="141">
        <f t="shared" si="85"/>
        <v>86552.640000000203</v>
      </c>
    </row>
    <row r="2667" spans="2:11">
      <c r="B2667" s="162">
        <v>44760</v>
      </c>
      <c r="C2667" s="141">
        <v>30</v>
      </c>
      <c r="J2667" s="141">
        <f t="shared" si="83"/>
        <v>0.25</v>
      </c>
      <c r="K2667" s="141">
        <f t="shared" si="85"/>
        <v>86558.640000000203</v>
      </c>
    </row>
    <row r="2668" spans="2:11">
      <c r="B2668" s="162">
        <v>44761</v>
      </c>
      <c r="C2668" s="141">
        <v>30</v>
      </c>
      <c r="J2668" s="141">
        <f t="shared" si="83"/>
        <v>0.25</v>
      </c>
      <c r="K2668" s="141">
        <f t="shared" si="85"/>
        <v>86564.640000000203</v>
      </c>
    </row>
    <row r="2669" spans="2:11">
      <c r="B2669" s="162">
        <v>44762</v>
      </c>
      <c r="C2669" s="141">
        <v>30</v>
      </c>
      <c r="J2669" s="141">
        <f t="shared" si="83"/>
        <v>0.25</v>
      </c>
      <c r="K2669" s="141">
        <f t="shared" si="85"/>
        <v>86570.640000000203</v>
      </c>
    </row>
    <row r="2670" spans="2:11">
      <c r="B2670" s="162">
        <v>44763</v>
      </c>
      <c r="C2670" s="141">
        <v>30</v>
      </c>
      <c r="J2670" s="141">
        <f t="shared" si="83"/>
        <v>0.25</v>
      </c>
      <c r="K2670" s="141">
        <f t="shared" si="85"/>
        <v>86576.640000000203</v>
      </c>
    </row>
    <row r="2671" spans="2:11">
      <c r="B2671" s="162">
        <v>44764</v>
      </c>
      <c r="C2671" s="141">
        <v>30</v>
      </c>
      <c r="J2671" s="141">
        <f t="shared" si="83"/>
        <v>0.25</v>
      </c>
      <c r="K2671" s="141">
        <f t="shared" si="85"/>
        <v>86582.640000000203</v>
      </c>
    </row>
    <row r="2672" spans="2:11">
      <c r="B2672" s="162">
        <v>44765</v>
      </c>
      <c r="C2672" s="141">
        <v>30</v>
      </c>
      <c r="J2672" s="141">
        <f t="shared" si="83"/>
        <v>0.25</v>
      </c>
      <c r="K2672" s="141">
        <f t="shared" si="85"/>
        <v>86588.640000000203</v>
      </c>
    </row>
    <row r="2673" spans="2:11">
      <c r="B2673" s="162">
        <v>44766</v>
      </c>
      <c r="C2673" s="141">
        <v>30</v>
      </c>
      <c r="J2673" s="141">
        <f t="shared" si="83"/>
        <v>0.25</v>
      </c>
      <c r="K2673" s="141">
        <f t="shared" si="85"/>
        <v>86594.640000000203</v>
      </c>
    </row>
    <row r="2674" spans="2:11">
      <c r="B2674" s="162">
        <v>44767</v>
      </c>
      <c r="C2674" s="141">
        <v>30</v>
      </c>
      <c r="J2674" s="141">
        <f t="shared" si="83"/>
        <v>0.25</v>
      </c>
      <c r="K2674" s="141">
        <f t="shared" si="85"/>
        <v>86600.640000000203</v>
      </c>
    </row>
    <row r="2675" spans="2:11">
      <c r="B2675" s="162">
        <v>44768</v>
      </c>
      <c r="C2675" s="141">
        <v>30</v>
      </c>
      <c r="J2675" s="141">
        <f t="shared" si="83"/>
        <v>0.25</v>
      </c>
      <c r="K2675" s="141">
        <f t="shared" si="85"/>
        <v>86606.640000000203</v>
      </c>
    </row>
    <row r="2676" spans="2:11">
      <c r="B2676" s="162">
        <v>44769</v>
      </c>
      <c r="C2676" s="141">
        <v>30</v>
      </c>
      <c r="J2676" s="141">
        <f t="shared" si="83"/>
        <v>0.25</v>
      </c>
      <c r="K2676" s="141">
        <f t="shared" si="85"/>
        <v>86612.640000000203</v>
      </c>
    </row>
    <row r="2677" spans="2:11">
      <c r="B2677" s="162">
        <v>44770</v>
      </c>
      <c r="C2677" s="141">
        <v>30</v>
      </c>
      <c r="J2677" s="141">
        <f t="shared" si="83"/>
        <v>0.25</v>
      </c>
      <c r="K2677" s="141">
        <f t="shared" si="85"/>
        <v>86618.640000000203</v>
      </c>
    </row>
    <row r="2678" spans="2:11">
      <c r="B2678" s="162">
        <v>44771</v>
      </c>
      <c r="C2678" s="141">
        <v>30</v>
      </c>
      <c r="J2678" s="141">
        <f t="shared" si="83"/>
        <v>0.25</v>
      </c>
      <c r="K2678" s="141">
        <f t="shared" si="85"/>
        <v>86624.640000000203</v>
      </c>
    </row>
    <row r="2679" spans="2:11">
      <c r="B2679" s="142"/>
    </row>
    <row r="2680" spans="2:11">
      <c r="B2680" s="142"/>
    </row>
    <row r="2681" spans="2:11">
      <c r="B2681" s="142"/>
    </row>
    <row r="2682" spans="2:11">
      <c r="B2682" s="142"/>
    </row>
    <row r="2683" spans="2:11">
      <c r="B2683" s="142"/>
    </row>
    <row r="2684" spans="2:11">
      <c r="B2684" s="142"/>
    </row>
    <row r="2685" spans="2:11">
      <c r="B2685" s="142"/>
    </row>
    <row r="2686" spans="2:11">
      <c r="B2686" s="142"/>
    </row>
    <row r="2687" spans="2:11">
      <c r="B2687" s="142"/>
    </row>
    <row r="2688" spans="2:11">
      <c r="B2688" s="142"/>
    </row>
    <row r="2689" spans="2:2">
      <c r="B2689" s="142"/>
    </row>
    <row r="2690" spans="2:2">
      <c r="B2690" s="142"/>
    </row>
    <row r="2691" spans="2:2">
      <c r="B2691" s="142"/>
    </row>
    <row r="2692" spans="2:2">
      <c r="B2692" s="142"/>
    </row>
    <row r="2693" spans="2:2">
      <c r="B2693" s="142"/>
    </row>
    <row r="2694" spans="2:2">
      <c r="B2694" s="142"/>
    </row>
    <row r="2695" spans="2:2">
      <c r="B2695" s="142"/>
    </row>
    <row r="2696" spans="2:2">
      <c r="B2696" s="142"/>
    </row>
    <row r="2697" spans="2:2">
      <c r="B2697" s="142"/>
    </row>
    <row r="2698" spans="2:2">
      <c r="B2698" s="142"/>
    </row>
    <row r="2699" spans="2:2">
      <c r="B2699" s="142"/>
    </row>
    <row r="2700" spans="2:2">
      <c r="B2700" s="142"/>
    </row>
    <row r="2701" spans="2:2">
      <c r="B2701" s="142"/>
    </row>
    <row r="2702" spans="2:2">
      <c r="B2702" s="142"/>
    </row>
    <row r="2703" spans="2:2">
      <c r="B2703" s="142"/>
    </row>
    <row r="2704" spans="2:2">
      <c r="B2704" s="142"/>
    </row>
    <row r="2705" spans="2:2">
      <c r="B2705" s="142"/>
    </row>
    <row r="2706" spans="2:2">
      <c r="B2706" s="142"/>
    </row>
    <row r="2707" spans="2:2">
      <c r="B2707" s="142"/>
    </row>
    <row r="2708" spans="2:2">
      <c r="B2708" s="142"/>
    </row>
    <row r="2709" spans="2:2">
      <c r="B2709" s="142"/>
    </row>
    <row r="2710" spans="2:2">
      <c r="B2710" s="142"/>
    </row>
    <row r="2711" spans="2:2">
      <c r="B2711" s="142"/>
    </row>
    <row r="2712" spans="2:2">
      <c r="B2712" s="142"/>
    </row>
    <row r="2713" spans="2:2">
      <c r="B2713" s="142"/>
    </row>
    <row r="2714" spans="2:2">
      <c r="B2714" s="142"/>
    </row>
    <row r="2715" spans="2:2">
      <c r="B2715" s="142"/>
    </row>
    <row r="2716" spans="2:2">
      <c r="B2716" s="142"/>
    </row>
    <row r="2717" spans="2:2">
      <c r="B2717" s="142"/>
    </row>
    <row r="2718" spans="2:2">
      <c r="B2718" s="142"/>
    </row>
    <row r="2719" spans="2:2">
      <c r="B2719" s="142"/>
    </row>
    <row r="2720" spans="2:2">
      <c r="B2720" s="142"/>
    </row>
    <row r="2721" spans="2:2">
      <c r="B2721" s="142"/>
    </row>
    <row r="2722" spans="2:2">
      <c r="B2722" s="142"/>
    </row>
    <row r="2723" spans="2:2">
      <c r="B2723" s="142"/>
    </row>
    <row r="2724" spans="2:2">
      <c r="B2724" s="142"/>
    </row>
    <row r="2725" spans="2:2">
      <c r="B2725" s="142"/>
    </row>
    <row r="2726" spans="2:2">
      <c r="B2726" s="142"/>
    </row>
    <row r="2727" spans="2:2">
      <c r="B2727" s="142"/>
    </row>
    <row r="2728" spans="2:2">
      <c r="B2728" s="142"/>
    </row>
    <row r="2729" spans="2:2">
      <c r="B2729" s="142"/>
    </row>
    <row r="2730" spans="2:2">
      <c r="B2730" s="142"/>
    </row>
    <row r="2731" spans="2:2">
      <c r="B2731" s="142"/>
    </row>
    <row r="2732" spans="2:2">
      <c r="B2732" s="142"/>
    </row>
    <row r="2733" spans="2:2">
      <c r="B2733" s="142"/>
    </row>
    <row r="2734" spans="2:2">
      <c r="B2734" s="142"/>
    </row>
    <row r="2735" spans="2:2">
      <c r="B2735" s="142"/>
    </row>
    <row r="2736" spans="2:2">
      <c r="B2736" s="142"/>
    </row>
    <row r="2737" spans="2:2">
      <c r="B2737" s="142"/>
    </row>
    <row r="2738" spans="2:2">
      <c r="B2738" s="142"/>
    </row>
    <row r="2739" spans="2:2">
      <c r="B2739" s="142"/>
    </row>
    <row r="2740" spans="2:2">
      <c r="B2740" s="142"/>
    </row>
    <row r="2741" spans="2:2">
      <c r="B2741" s="142"/>
    </row>
    <row r="2742" spans="2:2">
      <c r="B2742" s="142"/>
    </row>
    <row r="2743" spans="2:2">
      <c r="B2743" s="142"/>
    </row>
    <row r="2744" spans="2:2">
      <c r="B2744" s="142"/>
    </row>
    <row r="2745" spans="2:2">
      <c r="B2745" s="142"/>
    </row>
    <row r="2746" spans="2:2">
      <c r="B2746" s="142"/>
    </row>
    <row r="2747" spans="2:2">
      <c r="B2747" s="142"/>
    </row>
    <row r="2748" spans="2:2">
      <c r="B2748" s="142"/>
    </row>
    <row r="2749" spans="2:2">
      <c r="B2749" s="142"/>
    </row>
    <row r="2750" spans="2:2">
      <c r="B2750" s="142"/>
    </row>
    <row r="2751" spans="2:2">
      <c r="B2751" s="142"/>
    </row>
    <row r="2752" spans="2:2">
      <c r="B2752" s="142"/>
    </row>
    <row r="2753" spans="2:2">
      <c r="B2753" s="142"/>
    </row>
    <row r="2754" spans="2:2">
      <c r="B2754" s="142"/>
    </row>
    <row r="2755" spans="2:2">
      <c r="B2755" s="142"/>
    </row>
    <row r="2756" spans="2:2">
      <c r="B2756" s="142"/>
    </row>
    <row r="2757" spans="2:2">
      <c r="B2757" s="142"/>
    </row>
    <row r="2758" spans="2:2">
      <c r="B2758" s="142"/>
    </row>
    <row r="2759" spans="2:2">
      <c r="B2759" s="142"/>
    </row>
    <row r="2760" spans="2:2">
      <c r="B2760" s="142"/>
    </row>
    <row r="2761" spans="2:2">
      <c r="B2761" s="142"/>
    </row>
    <row r="2762" spans="2:2">
      <c r="B2762" s="142"/>
    </row>
    <row r="2763" spans="2:2">
      <c r="B2763" s="142"/>
    </row>
    <row r="2764" spans="2:2">
      <c r="B2764" s="142"/>
    </row>
    <row r="2765" spans="2:2">
      <c r="B2765" s="142"/>
    </row>
    <row r="2766" spans="2:2">
      <c r="B2766" s="142"/>
    </row>
    <row r="2767" spans="2:2">
      <c r="B2767" s="142"/>
    </row>
    <row r="2768" spans="2:2">
      <c r="B2768" s="142"/>
    </row>
    <row r="2769" spans="2:2">
      <c r="B2769" s="142"/>
    </row>
    <row r="2770" spans="2:2">
      <c r="B2770" s="142"/>
    </row>
    <row r="2771" spans="2:2">
      <c r="B2771" s="142"/>
    </row>
    <row r="2772" spans="2:2">
      <c r="B2772" s="142"/>
    </row>
    <row r="2773" spans="2:2">
      <c r="B2773" s="142"/>
    </row>
    <row r="2774" spans="2:2">
      <c r="B2774" s="142"/>
    </row>
    <row r="2775" spans="2:2">
      <c r="B2775" s="142"/>
    </row>
    <row r="2776" spans="2:2">
      <c r="B2776" s="142"/>
    </row>
    <row r="2777" spans="2:2">
      <c r="B2777" s="142"/>
    </row>
    <row r="2778" spans="2:2">
      <c r="B2778" s="142"/>
    </row>
    <row r="2779" spans="2:2">
      <c r="B2779" s="142"/>
    </row>
    <row r="2780" spans="2:2">
      <c r="B2780" s="142"/>
    </row>
    <row r="2781" spans="2:2">
      <c r="B2781" s="142"/>
    </row>
    <row r="2782" spans="2:2">
      <c r="B2782" s="142"/>
    </row>
    <row r="2783" spans="2:2">
      <c r="B2783" s="142"/>
    </row>
    <row r="2784" spans="2:2">
      <c r="B2784" s="142"/>
    </row>
    <row r="2785" spans="2:2">
      <c r="B2785" s="142"/>
    </row>
    <row r="2786" spans="2:2">
      <c r="B2786" s="142"/>
    </row>
    <row r="2787" spans="2:2">
      <c r="B2787" s="142"/>
    </row>
    <row r="2788" spans="2:2">
      <c r="B2788" s="142"/>
    </row>
    <row r="2789" spans="2:2">
      <c r="B2789" s="142"/>
    </row>
    <row r="2790" spans="2:2">
      <c r="B2790" s="142"/>
    </row>
    <row r="2791" spans="2:2">
      <c r="B2791" s="142"/>
    </row>
    <row r="2792" spans="2:2">
      <c r="B2792" s="142"/>
    </row>
    <row r="2793" spans="2:2">
      <c r="B2793" s="142"/>
    </row>
    <row r="2794" spans="2:2">
      <c r="B2794" s="142"/>
    </row>
    <row r="2795" spans="2:2">
      <c r="B2795" s="142"/>
    </row>
    <row r="2796" spans="2:2">
      <c r="B2796" s="142"/>
    </row>
    <row r="2797" spans="2:2">
      <c r="B2797" s="142"/>
    </row>
    <row r="2798" spans="2:2">
      <c r="B2798" s="142"/>
    </row>
    <row r="2799" spans="2:2">
      <c r="B2799" s="142"/>
    </row>
    <row r="2800" spans="2:2">
      <c r="B2800" s="142"/>
    </row>
    <row r="2801" spans="2:2">
      <c r="B2801" s="142"/>
    </row>
    <row r="2802" spans="2:2">
      <c r="B2802" s="142"/>
    </row>
    <row r="2803" spans="2:2">
      <c r="B2803" s="142"/>
    </row>
    <row r="2804" spans="2:2">
      <c r="B2804" s="142"/>
    </row>
    <row r="2805" spans="2:2">
      <c r="B2805" s="142"/>
    </row>
    <row r="2806" spans="2:2">
      <c r="B2806" s="142"/>
    </row>
    <row r="2807" spans="2:2">
      <c r="B2807" s="142"/>
    </row>
    <row r="2808" spans="2:2">
      <c r="B2808" s="142"/>
    </row>
    <row r="2809" spans="2:2">
      <c r="B2809" s="142"/>
    </row>
    <row r="2810" spans="2:2">
      <c r="B2810" s="142"/>
    </row>
    <row r="2811" spans="2:2">
      <c r="B2811" s="142"/>
    </row>
    <row r="2812" spans="2:2">
      <c r="B2812" s="142"/>
    </row>
    <row r="2813" spans="2:2">
      <c r="B2813" s="142"/>
    </row>
    <row r="2814" spans="2:2">
      <c r="B2814" s="142"/>
    </row>
    <row r="2815" spans="2:2">
      <c r="B2815" s="142"/>
    </row>
    <row r="2816" spans="2:2">
      <c r="B2816" s="142"/>
    </row>
    <row r="2817" spans="2:2">
      <c r="B2817" s="142"/>
    </row>
    <row r="2818" spans="2:2">
      <c r="B2818" s="142"/>
    </row>
    <row r="2819" spans="2:2">
      <c r="B2819" s="142"/>
    </row>
    <row r="2820" spans="2:2">
      <c r="B2820" s="142"/>
    </row>
    <row r="2821" spans="2:2">
      <c r="B2821" s="142"/>
    </row>
    <row r="2822" spans="2:2">
      <c r="B2822" s="142"/>
    </row>
    <row r="2823" spans="2:2">
      <c r="B2823" s="142"/>
    </row>
    <row r="2824" spans="2:2">
      <c r="B2824" s="142"/>
    </row>
    <row r="2825" spans="2:2">
      <c r="B2825" s="142"/>
    </row>
    <row r="2826" spans="2:2">
      <c r="B2826" s="142"/>
    </row>
    <row r="2827" spans="2:2">
      <c r="B2827" s="142"/>
    </row>
    <row r="2828" spans="2:2">
      <c r="B2828" s="142"/>
    </row>
    <row r="2829" spans="2:2">
      <c r="B2829" s="142"/>
    </row>
    <row r="2830" spans="2:2">
      <c r="B2830" s="142"/>
    </row>
    <row r="2831" spans="2:2">
      <c r="B2831" s="142"/>
    </row>
    <row r="2832" spans="2:2">
      <c r="B2832" s="142"/>
    </row>
    <row r="2833" spans="2:2">
      <c r="B2833" s="142"/>
    </row>
    <row r="2834" spans="2:2">
      <c r="B2834" s="142"/>
    </row>
    <row r="2835" spans="2:2">
      <c r="B2835" s="142"/>
    </row>
    <row r="2836" spans="2:2">
      <c r="B2836" s="142"/>
    </row>
    <row r="2837" spans="2:2">
      <c r="B2837" s="142"/>
    </row>
    <row r="2838" spans="2:2">
      <c r="B2838" s="142"/>
    </row>
    <row r="2839" spans="2:2">
      <c r="B2839" s="142"/>
    </row>
    <row r="2840" spans="2:2">
      <c r="B2840" s="142"/>
    </row>
    <row r="2841" spans="2:2">
      <c r="B2841" s="142"/>
    </row>
    <row r="2842" spans="2:2">
      <c r="B2842" s="142"/>
    </row>
    <row r="2843" spans="2:2">
      <c r="B2843" s="142"/>
    </row>
    <row r="2844" spans="2:2">
      <c r="B2844" s="142"/>
    </row>
    <row r="2845" spans="2:2">
      <c r="B2845" s="142"/>
    </row>
    <row r="2846" spans="2:2">
      <c r="B2846" s="142"/>
    </row>
    <row r="2847" spans="2:2">
      <c r="B2847" s="142"/>
    </row>
    <row r="2848" spans="2:2">
      <c r="B2848" s="142"/>
    </row>
    <row r="2849" spans="2:2">
      <c r="B2849" s="142"/>
    </row>
    <row r="2850" spans="2:2">
      <c r="B2850" s="142"/>
    </row>
    <row r="2851" spans="2:2">
      <c r="B2851" s="142"/>
    </row>
    <row r="2852" spans="2:2">
      <c r="B2852" s="142"/>
    </row>
    <row r="2853" spans="2:2">
      <c r="B2853" s="142"/>
    </row>
    <row r="2854" spans="2:2">
      <c r="B2854" s="142"/>
    </row>
    <row r="2855" spans="2:2">
      <c r="B2855" s="142"/>
    </row>
    <row r="2856" spans="2:2">
      <c r="B2856" s="142"/>
    </row>
    <row r="2857" spans="2:2">
      <c r="B2857" s="142"/>
    </row>
    <row r="2858" spans="2:2">
      <c r="B2858" s="142"/>
    </row>
    <row r="2859" spans="2:2">
      <c r="B2859" s="142"/>
    </row>
    <row r="2860" spans="2:2">
      <c r="B2860" s="142"/>
    </row>
    <row r="2861" spans="2:2">
      <c r="B2861" s="142"/>
    </row>
    <row r="2862" spans="2:2">
      <c r="B2862" s="142"/>
    </row>
    <row r="2863" spans="2:2">
      <c r="B2863" s="142"/>
    </row>
    <row r="2864" spans="2:2">
      <c r="B2864" s="142"/>
    </row>
    <row r="2865" spans="2:2">
      <c r="B2865" s="142"/>
    </row>
    <row r="2866" spans="2:2">
      <c r="B2866" s="142"/>
    </row>
    <row r="2867" spans="2:2">
      <c r="B2867" s="142"/>
    </row>
    <row r="2868" spans="2:2">
      <c r="B2868" s="142"/>
    </row>
    <row r="2869" spans="2:2">
      <c r="B2869" s="142"/>
    </row>
    <row r="2870" spans="2:2">
      <c r="B2870" s="142"/>
    </row>
    <row r="2871" spans="2:2">
      <c r="B2871" s="142"/>
    </row>
    <row r="2872" spans="2:2">
      <c r="B2872" s="142"/>
    </row>
    <row r="2873" spans="2:2">
      <c r="B2873" s="142"/>
    </row>
    <row r="2874" spans="2:2">
      <c r="B2874" s="142"/>
    </row>
    <row r="2875" spans="2:2">
      <c r="B2875" s="142"/>
    </row>
    <row r="2876" spans="2:2">
      <c r="B2876" s="142"/>
    </row>
    <row r="2877" spans="2:2">
      <c r="B2877" s="142"/>
    </row>
    <row r="2878" spans="2:2">
      <c r="B2878" s="142"/>
    </row>
    <row r="2879" spans="2:2">
      <c r="B2879" s="142"/>
    </row>
    <row r="2880" spans="2:2">
      <c r="B2880" s="142"/>
    </row>
    <row r="2881" spans="2:2">
      <c r="B2881" s="142"/>
    </row>
    <row r="2882" spans="2:2">
      <c r="B2882" s="142"/>
    </row>
    <row r="2883" spans="2:2">
      <c r="B2883" s="142"/>
    </row>
    <row r="2884" spans="2:2">
      <c r="B2884" s="142"/>
    </row>
    <row r="2885" spans="2:2">
      <c r="B2885" s="142"/>
    </row>
    <row r="2886" spans="2:2">
      <c r="B2886" s="142"/>
    </row>
    <row r="2887" spans="2:2">
      <c r="B2887" s="142"/>
    </row>
    <row r="2888" spans="2:2">
      <c r="B2888" s="142"/>
    </row>
    <row r="2889" spans="2:2">
      <c r="B2889" s="142"/>
    </row>
    <row r="2890" spans="2:2">
      <c r="B2890" s="142"/>
    </row>
    <row r="2891" spans="2:2">
      <c r="B2891" s="142"/>
    </row>
    <row r="2892" spans="2:2">
      <c r="B2892" s="142"/>
    </row>
    <row r="2893" spans="2:2">
      <c r="B2893" s="142"/>
    </row>
    <row r="2894" spans="2:2">
      <c r="B2894" s="142"/>
    </row>
    <row r="2895" spans="2:2">
      <c r="B2895" s="142"/>
    </row>
    <row r="2896" spans="2:2">
      <c r="B2896" s="142"/>
    </row>
    <row r="2897" spans="2:2">
      <c r="B2897" s="142"/>
    </row>
    <row r="2898" spans="2:2">
      <c r="B2898" s="142"/>
    </row>
    <row r="2899" spans="2:2">
      <c r="B2899" s="142"/>
    </row>
    <row r="2900" spans="2:2">
      <c r="B2900" s="142"/>
    </row>
    <row r="2901" spans="2:2">
      <c r="B2901" s="142"/>
    </row>
    <row r="2902" spans="2:2">
      <c r="B2902" s="142"/>
    </row>
    <row r="2903" spans="2:2">
      <c r="B2903" s="142"/>
    </row>
    <row r="2904" spans="2:2">
      <c r="B2904" s="142"/>
    </row>
    <row r="2905" spans="2:2">
      <c r="B2905" s="142"/>
    </row>
    <row r="2906" spans="2:2">
      <c r="B2906" s="142"/>
    </row>
    <row r="2907" spans="2:2">
      <c r="B2907" s="142"/>
    </row>
    <row r="2908" spans="2:2">
      <c r="B2908" s="142"/>
    </row>
    <row r="2909" spans="2:2">
      <c r="B2909" s="142"/>
    </row>
    <row r="2910" spans="2:2">
      <c r="B2910" s="142"/>
    </row>
    <row r="2911" spans="2:2">
      <c r="B2911" s="142"/>
    </row>
    <row r="2912" spans="2:2">
      <c r="B2912" s="142"/>
    </row>
    <row r="2913" spans="2:2">
      <c r="B2913" s="142"/>
    </row>
    <row r="2914" spans="2:2">
      <c r="B2914" s="142"/>
    </row>
    <row r="2915" spans="2:2">
      <c r="B2915" s="142"/>
    </row>
    <row r="2916" spans="2:2">
      <c r="B2916" s="142"/>
    </row>
    <row r="2917" spans="2:2">
      <c r="B2917" s="142"/>
    </row>
    <row r="2918" spans="2:2">
      <c r="B2918" s="142"/>
    </row>
    <row r="2919" spans="2:2">
      <c r="B2919" s="142"/>
    </row>
    <row r="2920" spans="2:2">
      <c r="B2920" s="142"/>
    </row>
    <row r="2921" spans="2:2">
      <c r="B2921" s="142"/>
    </row>
    <row r="2922" spans="2:2">
      <c r="B2922" s="142"/>
    </row>
    <row r="2923" spans="2:2">
      <c r="B2923" s="142"/>
    </row>
    <row r="2924" spans="2:2">
      <c r="B2924" s="142"/>
    </row>
    <row r="2925" spans="2:2">
      <c r="B2925" s="142"/>
    </row>
    <row r="2926" spans="2:2">
      <c r="B2926" s="142"/>
    </row>
    <row r="2927" spans="2:2">
      <c r="B2927" s="142"/>
    </row>
    <row r="2928" spans="2:2">
      <c r="B2928" s="142"/>
    </row>
    <row r="2929" spans="2:2">
      <c r="B2929" s="142"/>
    </row>
    <row r="2930" spans="2:2">
      <c r="B2930" s="142"/>
    </row>
    <row r="2931" spans="2:2">
      <c r="B2931" s="142"/>
    </row>
    <row r="2932" spans="2:2">
      <c r="B2932" s="142"/>
    </row>
    <row r="2933" spans="2:2">
      <c r="B2933" s="142"/>
    </row>
    <row r="2934" spans="2:2">
      <c r="B2934" s="142"/>
    </row>
    <row r="2935" spans="2:2">
      <c r="B2935" s="142"/>
    </row>
    <row r="2936" spans="2:2">
      <c r="B2936" s="142"/>
    </row>
    <row r="2937" spans="2:2">
      <c r="B2937" s="142"/>
    </row>
    <row r="2938" spans="2:2">
      <c r="B2938" s="142"/>
    </row>
    <row r="2939" spans="2:2">
      <c r="B2939" s="142"/>
    </row>
    <row r="2940" spans="2:2">
      <c r="B2940" s="142"/>
    </row>
    <row r="2941" spans="2:2">
      <c r="B2941" s="142"/>
    </row>
    <row r="2942" spans="2:2">
      <c r="B2942" s="142"/>
    </row>
    <row r="2943" spans="2:2">
      <c r="B2943" s="142"/>
    </row>
    <row r="2944" spans="2:2">
      <c r="B2944" s="142"/>
    </row>
    <row r="2945" spans="2:2">
      <c r="B2945" s="142"/>
    </row>
    <row r="2946" spans="2:2">
      <c r="B2946" s="142"/>
    </row>
    <row r="2947" spans="2:2">
      <c r="B2947" s="142"/>
    </row>
    <row r="2948" spans="2:2">
      <c r="B2948" s="142"/>
    </row>
    <row r="2949" spans="2:2">
      <c r="B2949" s="142"/>
    </row>
    <row r="2950" spans="2:2">
      <c r="B2950" s="142"/>
    </row>
    <row r="2951" spans="2:2">
      <c r="B2951" s="142"/>
    </row>
    <row r="2952" spans="2:2">
      <c r="B2952" s="142"/>
    </row>
    <row r="2953" spans="2:2">
      <c r="B2953" s="142"/>
    </row>
    <row r="2954" spans="2:2">
      <c r="B2954" s="142"/>
    </row>
    <row r="2955" spans="2:2">
      <c r="B2955" s="142"/>
    </row>
    <row r="2956" spans="2:2">
      <c r="B2956" s="142"/>
    </row>
    <row r="2957" spans="2:2">
      <c r="B2957" s="142"/>
    </row>
    <row r="2958" spans="2:2">
      <c r="B2958" s="142"/>
    </row>
    <row r="2959" spans="2:2">
      <c r="B2959" s="142"/>
    </row>
    <row r="2960" spans="2:2">
      <c r="B2960" s="142"/>
    </row>
    <row r="2961" spans="2:2">
      <c r="B2961" s="142"/>
    </row>
    <row r="2962" spans="2:2">
      <c r="B2962" s="142"/>
    </row>
    <row r="2963" spans="2:2">
      <c r="B2963" s="142"/>
    </row>
    <row r="2964" spans="2:2">
      <c r="B2964" s="142"/>
    </row>
    <row r="2965" spans="2:2">
      <c r="B2965" s="142"/>
    </row>
    <row r="2966" spans="2:2">
      <c r="B2966" s="142"/>
    </row>
    <row r="2967" spans="2:2">
      <c r="B2967" s="142"/>
    </row>
    <row r="2968" spans="2:2">
      <c r="B2968" s="142"/>
    </row>
    <row r="2969" spans="2:2">
      <c r="B2969" s="142"/>
    </row>
    <row r="2970" spans="2:2">
      <c r="B2970" s="142"/>
    </row>
    <row r="2971" spans="2:2">
      <c r="B2971" s="142"/>
    </row>
    <row r="2972" spans="2:2">
      <c r="B2972" s="142"/>
    </row>
    <row r="2973" spans="2:2">
      <c r="B2973" s="142"/>
    </row>
    <row r="2974" spans="2:2">
      <c r="B2974" s="142"/>
    </row>
    <row r="2975" spans="2:2">
      <c r="B2975" s="142"/>
    </row>
    <row r="2976" spans="2:2">
      <c r="B2976" s="142"/>
    </row>
    <row r="2977" spans="2:2">
      <c r="B2977" s="142"/>
    </row>
    <row r="2978" spans="2:2">
      <c r="B2978" s="142"/>
    </row>
    <row r="2979" spans="2:2">
      <c r="B2979" s="142"/>
    </row>
    <row r="2980" spans="2:2">
      <c r="B2980" s="142"/>
    </row>
    <row r="2981" spans="2:2">
      <c r="B2981" s="142"/>
    </row>
    <row r="2982" spans="2:2">
      <c r="B2982" s="142"/>
    </row>
    <row r="2983" spans="2:2">
      <c r="B2983" s="142"/>
    </row>
    <row r="2984" spans="2:2">
      <c r="B2984" s="142"/>
    </row>
    <row r="2985" spans="2:2">
      <c r="B2985" s="142"/>
    </row>
    <row r="2986" spans="2:2">
      <c r="B2986" s="142"/>
    </row>
    <row r="2987" spans="2:2">
      <c r="B2987" s="142"/>
    </row>
    <row r="2988" spans="2:2">
      <c r="B2988" s="142"/>
    </row>
    <row r="2989" spans="2:2">
      <c r="B2989" s="142"/>
    </row>
    <row r="2990" spans="2:2">
      <c r="B2990" s="142"/>
    </row>
    <row r="2991" spans="2:2">
      <c r="B2991" s="142"/>
    </row>
    <row r="2992" spans="2:2">
      <c r="B2992" s="142"/>
    </row>
    <row r="2993" spans="2:2">
      <c r="B2993" s="142"/>
    </row>
    <row r="2994" spans="2:2">
      <c r="B2994" s="142"/>
    </row>
    <row r="2995" spans="2:2">
      <c r="B2995" s="142"/>
    </row>
    <row r="2996" spans="2:2">
      <c r="B2996" s="142"/>
    </row>
    <row r="2997" spans="2:2">
      <c r="B2997" s="142"/>
    </row>
    <row r="2998" spans="2:2">
      <c r="B2998" s="142"/>
    </row>
    <row r="2999" spans="2:2">
      <c r="B2999" s="142"/>
    </row>
    <row r="3000" spans="2:2">
      <c r="B3000" s="142"/>
    </row>
    <row r="3001" spans="2:2">
      <c r="B3001" s="142"/>
    </row>
    <row r="3002" spans="2:2">
      <c r="B3002" s="142"/>
    </row>
    <row r="3003" spans="2:2">
      <c r="B3003" s="142"/>
    </row>
    <row r="3004" spans="2:2">
      <c r="B3004" s="142"/>
    </row>
    <row r="3005" spans="2:2">
      <c r="B3005" s="142"/>
    </row>
    <row r="3006" spans="2:2">
      <c r="B3006" s="142"/>
    </row>
    <row r="3007" spans="2:2">
      <c r="B3007" s="142"/>
    </row>
    <row r="3008" spans="2:2">
      <c r="B3008" s="142"/>
    </row>
    <row r="3009" spans="2:2">
      <c r="B3009" s="142"/>
    </row>
  </sheetData>
  <sortState ref="A2:Q3009">
    <sortCondition ref="A2:A3009"/>
  </sortState>
  <hyperlinks>
    <hyperlink ref="M2" r:id="rId1"/>
  </hyperlinks>
  <pageMargins left="0.7" right="0.7" top="0.78740157499999996" bottom="0.78740157499999996" header="0.3" footer="0.3"/>
  <pageSetup paperSize="9" orientation="portrait" verticalDpi="0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59"/>
  <sheetViews>
    <sheetView workbookViewId="0">
      <selection activeCell="C59" sqref="C59"/>
    </sheetView>
  </sheetViews>
  <sheetFormatPr defaultRowHeight="15"/>
  <cols>
    <col min="1" max="1" width="11.42578125" style="66" bestFit="1" customWidth="1"/>
  </cols>
  <sheetData>
    <row r="1" spans="1:2">
      <c r="B1" s="70" t="s">
        <v>293</v>
      </c>
    </row>
    <row r="3" spans="1:2">
      <c r="A3" s="66">
        <v>42095</v>
      </c>
      <c r="B3">
        <v>9.2499999999999982</v>
      </c>
    </row>
    <row r="4" spans="1:2">
      <c r="A4" s="66">
        <v>42125</v>
      </c>
      <c r="B4">
        <v>13.748387096774204</v>
      </c>
    </row>
    <row r="5" spans="1:2">
      <c r="A5" s="66">
        <v>42156</v>
      </c>
      <c r="B5">
        <v>17.11</v>
      </c>
    </row>
    <row r="6" spans="1:2">
      <c r="A6" s="66">
        <v>42186</v>
      </c>
      <c r="B6">
        <v>21.29032258064516</v>
      </c>
    </row>
    <row r="7" spans="1:2">
      <c r="A7" s="66">
        <v>42217</v>
      </c>
      <c r="B7">
        <v>22.480645161290347</v>
      </c>
    </row>
    <row r="8" spans="1:2">
      <c r="A8" s="66">
        <v>42248</v>
      </c>
      <c r="B8">
        <v>14.083333333333348</v>
      </c>
    </row>
    <row r="9" spans="1:2">
      <c r="A9" s="66">
        <v>42278</v>
      </c>
      <c r="B9">
        <v>8.6580645161290359</v>
      </c>
    </row>
    <row r="10" spans="1:2">
      <c r="A10" s="66">
        <v>42309</v>
      </c>
      <c r="B10">
        <v>6.8866666666666028</v>
      </c>
    </row>
    <row r="11" spans="1:2">
      <c r="A11" s="66">
        <v>42339</v>
      </c>
      <c r="B11">
        <v>4.9032258064516272</v>
      </c>
    </row>
    <row r="12" spans="1:2">
      <c r="A12" s="66">
        <v>42370</v>
      </c>
      <c r="B12">
        <v>-0.25483870967740763</v>
      </c>
    </row>
    <row r="13" spans="1:2">
      <c r="A13" s="66">
        <v>42401</v>
      </c>
      <c r="B13">
        <v>3.4034482758620785</v>
      </c>
    </row>
    <row r="14" spans="1:2">
      <c r="A14" s="66">
        <v>42430</v>
      </c>
      <c r="B14">
        <v>4.4032258064515979</v>
      </c>
    </row>
    <row r="15" spans="1:2">
      <c r="A15" s="66">
        <v>42461</v>
      </c>
      <c r="B15">
        <v>9.0266666666666584</v>
      </c>
    </row>
    <row r="16" spans="1:2">
      <c r="A16" s="66">
        <v>42491</v>
      </c>
      <c r="B16">
        <v>14.625806451612892</v>
      </c>
    </row>
    <row r="17" spans="1:2">
      <c r="A17" s="66">
        <v>42522</v>
      </c>
      <c r="B17">
        <v>18.486666666666618</v>
      </c>
    </row>
    <row r="18" spans="1:2">
      <c r="A18" s="66">
        <v>42552</v>
      </c>
      <c r="B18">
        <v>19.922580645161272</v>
      </c>
    </row>
    <row r="19" spans="1:2">
      <c r="A19" s="66">
        <v>42583</v>
      </c>
      <c r="B19">
        <v>18.554838709677444</v>
      </c>
    </row>
    <row r="20" spans="1:2">
      <c r="A20" s="66">
        <v>42614</v>
      </c>
      <c r="B20">
        <v>17.559999999999945</v>
      </c>
    </row>
    <row r="21" spans="1:2">
      <c r="A21" s="66">
        <v>42644</v>
      </c>
      <c r="B21">
        <v>8.4258064516128393</v>
      </c>
    </row>
    <row r="22" spans="1:2">
      <c r="A22" s="66">
        <v>42675</v>
      </c>
      <c r="B22">
        <v>3.2900000000000245</v>
      </c>
    </row>
    <row r="23" spans="1:2">
      <c r="A23" s="66">
        <v>42705</v>
      </c>
      <c r="B23">
        <v>0.53548387096778305</v>
      </c>
    </row>
    <row r="24" spans="1:2">
      <c r="A24" s="66">
        <v>42736</v>
      </c>
      <c r="B24">
        <v>-4.5935483870967921</v>
      </c>
    </row>
    <row r="25" spans="1:2">
      <c r="A25" s="66">
        <v>42767</v>
      </c>
      <c r="B25">
        <v>2.2964285714285455</v>
      </c>
    </row>
    <row r="26" spans="1:2">
      <c r="A26" s="66">
        <v>42795</v>
      </c>
      <c r="B26">
        <v>7.5483870967742233</v>
      </c>
    </row>
    <row r="27" spans="1:2">
      <c r="A27" s="66">
        <v>42826</v>
      </c>
      <c r="B27">
        <v>8.0766666666666733</v>
      </c>
    </row>
    <row r="28" spans="1:2">
      <c r="A28" s="66">
        <v>42856</v>
      </c>
      <c r="B28">
        <v>15.090322580645168</v>
      </c>
    </row>
    <row r="29" spans="1:2">
      <c r="A29" s="66">
        <v>42887</v>
      </c>
      <c r="B29">
        <v>19.273333333333298</v>
      </c>
    </row>
    <row r="30" spans="1:2">
      <c r="A30" s="66">
        <v>42917</v>
      </c>
      <c r="B30">
        <v>20.083870967741888</v>
      </c>
    </row>
    <row r="31" spans="1:2">
      <c r="A31" s="66">
        <v>42948</v>
      </c>
      <c r="B31">
        <v>19.338709677419356</v>
      </c>
    </row>
    <row r="32" spans="1:2">
      <c r="A32" s="66">
        <v>42979</v>
      </c>
      <c r="B32">
        <v>13.006666666666872</v>
      </c>
    </row>
    <row r="33" spans="1:2">
      <c r="A33" s="66">
        <v>43009</v>
      </c>
      <c r="B33">
        <v>10.809677419354909</v>
      </c>
    </row>
    <row r="34" spans="1:2">
      <c r="A34" s="66">
        <v>43040</v>
      </c>
      <c r="B34">
        <v>4.6066666666667517</v>
      </c>
    </row>
    <row r="35" spans="1:2">
      <c r="A35" s="66">
        <v>43070</v>
      </c>
      <c r="B35">
        <v>2.2806451612904635</v>
      </c>
    </row>
    <row r="36" spans="1:2">
      <c r="A36" s="66">
        <v>43101</v>
      </c>
      <c r="B36">
        <v>3.2483870967741582</v>
      </c>
    </row>
    <row r="37" spans="1:2">
      <c r="A37" s="66">
        <v>43132</v>
      </c>
      <c r="B37">
        <v>-2.5500000000000518</v>
      </c>
    </row>
    <row r="38" spans="1:2">
      <c r="A38" s="66">
        <v>43160</v>
      </c>
      <c r="B38">
        <v>2.3838709677420411</v>
      </c>
    </row>
    <row r="39" spans="1:2">
      <c r="A39" s="66">
        <v>43191</v>
      </c>
      <c r="B39">
        <v>13.99333333333337</v>
      </c>
    </row>
    <row r="40" spans="1:2">
      <c r="A40" s="66">
        <v>43221</v>
      </c>
      <c r="B40">
        <v>17.454838709677372</v>
      </c>
    </row>
    <row r="41" spans="1:2">
      <c r="A41" s="66">
        <v>43252</v>
      </c>
      <c r="B41">
        <v>18.759999999999977</v>
      </c>
    </row>
    <row r="42" spans="1:2">
      <c r="A42" s="66">
        <v>43282</v>
      </c>
      <c r="B42">
        <v>21.961290322580503</v>
      </c>
    </row>
    <row r="43" spans="1:2">
      <c r="A43" s="66">
        <v>43313</v>
      </c>
      <c r="B43">
        <v>21.751612903225901</v>
      </c>
    </row>
    <row r="44" spans="1:2">
      <c r="A44" s="66">
        <v>43344</v>
      </c>
      <c r="B44">
        <v>16.043333333333369</v>
      </c>
    </row>
    <row r="45" spans="1:2">
      <c r="A45" s="66">
        <v>43374</v>
      </c>
      <c r="B45">
        <v>11.01935483870969</v>
      </c>
    </row>
    <row r="46" spans="1:2">
      <c r="A46" s="66">
        <v>43405</v>
      </c>
      <c r="B46">
        <v>4.2866666666666786</v>
      </c>
    </row>
    <row r="47" spans="1:2">
      <c r="A47" s="66">
        <v>43435</v>
      </c>
      <c r="B47">
        <v>3.2290322580642932</v>
      </c>
    </row>
    <row r="48" spans="1:2">
      <c r="A48" s="66">
        <v>43466</v>
      </c>
      <c r="B48">
        <v>-1.2903225806557232E-2</v>
      </c>
    </row>
    <row r="49" spans="1:2">
      <c r="A49" s="66">
        <v>43497</v>
      </c>
      <c r="B49">
        <v>3.067857142857195</v>
      </c>
    </row>
    <row r="50" spans="1:2">
      <c r="A50" s="66">
        <v>43525</v>
      </c>
      <c r="B50">
        <v>7.361290322580551</v>
      </c>
    </row>
    <row r="51" spans="1:2">
      <c r="A51" s="66">
        <v>43556</v>
      </c>
      <c r="B51">
        <v>10.860000000000097</v>
      </c>
    </row>
    <row r="52" spans="1:2">
      <c r="A52" s="66">
        <v>43586</v>
      </c>
      <c r="B52">
        <v>12.29354838709661</v>
      </c>
    </row>
    <row r="53" spans="1:2">
      <c r="A53" s="66">
        <v>43617</v>
      </c>
      <c r="B53">
        <v>22.053333333333526</v>
      </c>
    </row>
    <row r="54" spans="1:2">
      <c r="A54" s="66">
        <v>43647</v>
      </c>
      <c r="B54">
        <v>20.22903225806435</v>
      </c>
    </row>
    <row r="55" spans="1:2">
      <c r="A55" s="66">
        <v>43678</v>
      </c>
      <c r="B55">
        <v>20.332258064516104</v>
      </c>
    </row>
    <row r="56" spans="1:2">
      <c r="A56" s="66">
        <v>43709</v>
      </c>
      <c r="B56">
        <v>14.676666666666522</v>
      </c>
    </row>
    <row r="57" spans="1:2">
      <c r="A57" s="66">
        <v>43739</v>
      </c>
      <c r="B57">
        <v>10.209677419354721</v>
      </c>
    </row>
    <row r="58" spans="1:2">
      <c r="A58" s="66">
        <v>43770</v>
      </c>
      <c r="B58">
        <v>6.1799999999999269</v>
      </c>
    </row>
    <row r="59" spans="1:2">
      <c r="A59" s="66">
        <v>43800</v>
      </c>
      <c r="B59">
        <v>2.5</v>
      </c>
    </row>
  </sheetData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P28"/>
  <sheetViews>
    <sheetView workbookViewId="0">
      <selection activeCell="P4" sqref="P4"/>
    </sheetView>
  </sheetViews>
  <sheetFormatPr defaultColWidth="6.28515625" defaultRowHeight="15"/>
  <cols>
    <col min="1" max="2" width="6.28515625" style="141"/>
    <col min="3" max="3" width="10.85546875" style="141" customWidth="1"/>
    <col min="4" max="16384" width="6.28515625" style="141"/>
  </cols>
  <sheetData>
    <row r="1" spans="1:16">
      <c r="J1" s="144">
        <v>2.5</v>
      </c>
      <c r="K1" s="141" t="s">
        <v>1460</v>
      </c>
      <c r="M1" s="141" t="s">
        <v>1459</v>
      </c>
    </row>
    <row r="2" spans="1:16">
      <c r="J2" s="144">
        <v>15</v>
      </c>
      <c r="K2" s="141" t="s">
        <v>107</v>
      </c>
      <c r="P2" s="86" t="s">
        <v>1458</v>
      </c>
    </row>
    <row r="3" spans="1:16">
      <c r="J3" s="144">
        <v>0.6</v>
      </c>
      <c r="K3" s="141" t="s">
        <v>1027</v>
      </c>
    </row>
    <row r="4" spans="1:16">
      <c r="P4" s="141" t="s">
        <v>1457</v>
      </c>
    </row>
    <row r="6" spans="1:16">
      <c r="A6" s="141" t="s">
        <v>1456</v>
      </c>
      <c r="B6" s="141" t="s">
        <v>463</v>
      </c>
      <c r="C6" s="142">
        <v>44075</v>
      </c>
      <c r="D6" s="141" t="s">
        <v>455</v>
      </c>
      <c r="E6" s="141" t="s">
        <v>1451</v>
      </c>
      <c r="F6" s="141" t="s">
        <v>314</v>
      </c>
      <c r="H6" s="141" t="s">
        <v>1455</v>
      </c>
      <c r="I6" s="141" t="s">
        <v>1454</v>
      </c>
      <c r="J6" s="141" t="s">
        <v>1453</v>
      </c>
      <c r="K6" s="141" t="s">
        <v>1452</v>
      </c>
      <c r="L6" s="141" t="s">
        <v>1451</v>
      </c>
    </row>
    <row r="7" spans="1:16">
      <c r="A7" s="141" t="s">
        <v>541</v>
      </c>
      <c r="B7" s="141">
        <v>2020</v>
      </c>
      <c r="C7" s="142">
        <v>44105</v>
      </c>
      <c r="D7" s="141">
        <v>285</v>
      </c>
      <c r="E7" s="141">
        <v>133</v>
      </c>
      <c r="F7" s="141">
        <v>418</v>
      </c>
      <c r="G7" s="141">
        <f t="shared" ref="G7:G20" si="0">D7+E7-F7</f>
        <v>0</v>
      </c>
      <c r="H7" s="141">
        <v>15.888333333333344</v>
      </c>
      <c r="I7" s="141">
        <f t="shared" ref="I7:I20" si="1">F7/(C7-C6)/24</f>
        <v>0.5805555555555556</v>
      </c>
      <c r="J7" s="141">
        <f t="shared" ref="J7:J20" si="2">IF(J$2-H7&gt;0,J$2-H7,0)*J$1/30</f>
        <v>0</v>
      </c>
      <c r="K7" s="141">
        <f t="shared" ref="K7:K20" si="3">I7-J$3</f>
        <v>-1.9444444444444375E-2</v>
      </c>
      <c r="L7" s="141">
        <f t="shared" ref="L7:L20" si="4">E7/(C7-C6)/24</f>
        <v>0.18472222222222223</v>
      </c>
    </row>
    <row r="8" spans="1:16">
      <c r="A8" s="141" t="s">
        <v>542</v>
      </c>
      <c r="B8" s="141">
        <v>2020</v>
      </c>
      <c r="C8" s="142">
        <v>44136</v>
      </c>
      <c r="D8" s="141">
        <v>532</v>
      </c>
      <c r="E8" s="141">
        <v>125</v>
      </c>
      <c r="F8" s="141">
        <v>657</v>
      </c>
      <c r="G8" s="141">
        <f t="shared" si="0"/>
        <v>0</v>
      </c>
      <c r="H8" s="141">
        <v>10.394999999999952</v>
      </c>
      <c r="I8" s="141">
        <f t="shared" si="1"/>
        <v>0.88306451612903236</v>
      </c>
      <c r="J8" s="141">
        <f t="shared" si="2"/>
        <v>0.38375000000000398</v>
      </c>
      <c r="K8" s="141">
        <f t="shared" si="3"/>
        <v>0.28306451612903238</v>
      </c>
      <c r="L8" s="141">
        <f t="shared" si="4"/>
        <v>0.16801075268817203</v>
      </c>
    </row>
    <row r="9" spans="1:16">
      <c r="A9" s="141" t="s">
        <v>543</v>
      </c>
      <c r="B9" s="141">
        <v>2021</v>
      </c>
      <c r="C9" s="142">
        <v>44166</v>
      </c>
      <c r="D9" s="141">
        <v>917</v>
      </c>
      <c r="E9" s="141">
        <v>90</v>
      </c>
      <c r="F9" s="141">
        <v>1007</v>
      </c>
      <c r="G9" s="141">
        <f t="shared" si="0"/>
        <v>0</v>
      </c>
      <c r="H9" s="141">
        <v>4.6783333333332848</v>
      </c>
      <c r="I9" s="141">
        <f t="shared" si="1"/>
        <v>1.3986111111111112</v>
      </c>
      <c r="J9" s="141">
        <f t="shared" si="2"/>
        <v>0.86013888888889289</v>
      </c>
      <c r="K9" s="141">
        <f t="shared" si="3"/>
        <v>0.79861111111111127</v>
      </c>
      <c r="L9" s="141">
        <f t="shared" si="4"/>
        <v>0.125</v>
      </c>
    </row>
    <row r="10" spans="1:16">
      <c r="A10" s="141" t="s">
        <v>544</v>
      </c>
      <c r="B10" s="141">
        <v>2021</v>
      </c>
      <c r="C10" s="142">
        <v>44197</v>
      </c>
      <c r="D10" s="141">
        <v>1218</v>
      </c>
      <c r="E10" s="141">
        <v>89</v>
      </c>
      <c r="F10" s="141">
        <v>1307</v>
      </c>
      <c r="G10" s="141">
        <f t="shared" si="0"/>
        <v>0</v>
      </c>
      <c r="H10" s="141">
        <v>3.1143548387096356</v>
      </c>
      <c r="I10" s="141">
        <f t="shared" si="1"/>
        <v>1.756720430107527</v>
      </c>
      <c r="J10" s="141">
        <f t="shared" si="2"/>
        <v>0.99047043010753033</v>
      </c>
      <c r="K10" s="141">
        <f t="shared" si="3"/>
        <v>1.1567204301075269</v>
      </c>
      <c r="L10" s="141">
        <f t="shared" si="4"/>
        <v>0.1196236559139785</v>
      </c>
    </row>
    <row r="11" spans="1:16">
      <c r="A11" s="141" t="s">
        <v>533</v>
      </c>
      <c r="B11" s="141">
        <v>2021</v>
      </c>
      <c r="C11" s="142">
        <v>44228</v>
      </c>
      <c r="D11" s="141">
        <v>1291</v>
      </c>
      <c r="E11" s="141">
        <v>76</v>
      </c>
      <c r="F11" s="141">
        <v>1367</v>
      </c>
      <c r="G11" s="141">
        <f t="shared" si="0"/>
        <v>0</v>
      </c>
      <c r="H11" s="141">
        <v>0.24983870967744518</v>
      </c>
      <c r="I11" s="141">
        <f t="shared" si="1"/>
        <v>1.8373655913978493</v>
      </c>
      <c r="J11" s="141">
        <f t="shared" si="2"/>
        <v>1.2291801075268796</v>
      </c>
      <c r="K11" s="141">
        <f t="shared" si="3"/>
        <v>1.2373655913978494</v>
      </c>
      <c r="L11" s="141">
        <f t="shared" si="4"/>
        <v>0.10215053763440861</v>
      </c>
    </row>
    <row r="12" spans="1:16">
      <c r="A12" s="141" t="s">
        <v>534</v>
      </c>
      <c r="B12" s="141">
        <v>2021</v>
      </c>
      <c r="C12" s="142">
        <v>44256</v>
      </c>
      <c r="D12" s="141">
        <v>1161</v>
      </c>
      <c r="E12" s="141">
        <v>125</v>
      </c>
      <c r="F12" s="141">
        <v>1286</v>
      </c>
      <c r="G12" s="141">
        <f t="shared" si="0"/>
        <v>0</v>
      </c>
      <c r="H12" s="141">
        <v>-0.30857142857140779</v>
      </c>
      <c r="I12" s="141">
        <f t="shared" si="1"/>
        <v>1.9136904761904763</v>
      </c>
      <c r="J12" s="141">
        <f t="shared" si="2"/>
        <v>1.275714285714284</v>
      </c>
      <c r="K12" s="141">
        <f t="shared" si="3"/>
        <v>1.3136904761904762</v>
      </c>
      <c r="L12" s="141">
        <f t="shared" si="4"/>
        <v>0.18601190476190477</v>
      </c>
    </row>
    <row r="13" spans="1:16">
      <c r="A13" s="141" t="s">
        <v>535</v>
      </c>
      <c r="B13" s="141">
        <v>2021</v>
      </c>
      <c r="C13" s="142">
        <v>44287</v>
      </c>
      <c r="D13" s="141">
        <v>850</v>
      </c>
      <c r="E13" s="141">
        <v>228</v>
      </c>
      <c r="F13" s="141">
        <v>1078</v>
      </c>
      <c r="G13" s="141">
        <f t="shared" si="0"/>
        <v>0</v>
      </c>
      <c r="H13" s="141">
        <v>4.7949999999999404</v>
      </c>
      <c r="I13" s="141">
        <f t="shared" si="1"/>
        <v>1.4489247311827957</v>
      </c>
      <c r="J13" s="141">
        <f t="shared" si="2"/>
        <v>0.85041666666667148</v>
      </c>
      <c r="K13" s="141">
        <f t="shared" si="3"/>
        <v>0.84892473118279577</v>
      </c>
      <c r="L13" s="141">
        <f t="shared" si="4"/>
        <v>0.30645161290322581</v>
      </c>
    </row>
    <row r="14" spans="1:16">
      <c r="A14" s="141" t="s">
        <v>536</v>
      </c>
      <c r="B14" s="141">
        <v>2021</v>
      </c>
      <c r="C14" s="142">
        <v>44317</v>
      </c>
      <c r="D14" s="141">
        <v>568</v>
      </c>
      <c r="E14" s="141">
        <v>211</v>
      </c>
      <c r="F14" s="141">
        <v>779</v>
      </c>
      <c r="G14" s="141">
        <f t="shared" si="0"/>
        <v>0</v>
      </c>
      <c r="H14" s="141">
        <v>6.6616666666666484</v>
      </c>
      <c r="I14" s="141">
        <f t="shared" si="1"/>
        <v>1.0819444444444444</v>
      </c>
      <c r="J14" s="141">
        <f t="shared" si="2"/>
        <v>0.69486111111111271</v>
      </c>
      <c r="K14" s="141">
        <f t="shared" si="3"/>
        <v>0.4819444444444444</v>
      </c>
      <c r="L14" s="141">
        <f t="shared" si="4"/>
        <v>0.29305555555555557</v>
      </c>
    </row>
    <row r="15" spans="1:16">
      <c r="A15" s="141" t="s">
        <v>537</v>
      </c>
      <c r="B15" s="141">
        <v>2021</v>
      </c>
      <c r="C15" s="142">
        <v>44348</v>
      </c>
      <c r="D15" s="141">
        <v>323</v>
      </c>
      <c r="E15" s="141">
        <v>193</v>
      </c>
      <c r="F15" s="141">
        <v>516</v>
      </c>
      <c r="G15" s="141">
        <f t="shared" si="0"/>
        <v>0</v>
      </c>
      <c r="H15" s="141">
        <v>11.97564516129029</v>
      </c>
      <c r="I15" s="141">
        <f t="shared" si="1"/>
        <v>0.69354838709677413</v>
      </c>
      <c r="J15" s="141">
        <f t="shared" si="2"/>
        <v>0.25202956989247588</v>
      </c>
      <c r="K15" s="141">
        <f t="shared" si="3"/>
        <v>9.3548387096774155E-2</v>
      </c>
      <c r="L15" s="141">
        <f t="shared" si="4"/>
        <v>0.25940860215053763</v>
      </c>
    </row>
    <row r="16" spans="1:16">
      <c r="A16" s="141" t="s">
        <v>538</v>
      </c>
      <c r="B16" s="141">
        <v>2021</v>
      </c>
      <c r="C16" s="142">
        <v>44378</v>
      </c>
      <c r="D16" s="141">
        <v>286</v>
      </c>
      <c r="E16" s="141">
        <v>228</v>
      </c>
      <c r="F16" s="141">
        <v>514</v>
      </c>
      <c r="G16" s="141">
        <f t="shared" si="0"/>
        <v>0</v>
      </c>
      <c r="H16" s="141">
        <v>20.248333333333356</v>
      </c>
      <c r="I16" s="141">
        <f t="shared" si="1"/>
        <v>0.71388888888888891</v>
      </c>
      <c r="J16" s="141">
        <f t="shared" si="2"/>
        <v>0</v>
      </c>
      <c r="K16" s="141">
        <f t="shared" si="3"/>
        <v>0.11388888888888893</v>
      </c>
      <c r="L16" s="141">
        <f t="shared" si="4"/>
        <v>0.31666666666666665</v>
      </c>
    </row>
    <row r="17" spans="1:14">
      <c r="A17" s="141" t="s">
        <v>539</v>
      </c>
      <c r="B17" s="141">
        <v>2021</v>
      </c>
      <c r="C17" s="142">
        <v>44409</v>
      </c>
      <c r="D17" s="141">
        <v>236</v>
      </c>
      <c r="E17" s="141">
        <v>198</v>
      </c>
      <c r="F17" s="141">
        <v>434</v>
      </c>
      <c r="G17" s="141">
        <f t="shared" si="0"/>
        <v>0</v>
      </c>
      <c r="H17" s="141">
        <v>19.949838709677529</v>
      </c>
      <c r="I17" s="141">
        <f t="shared" si="1"/>
        <v>0.58333333333333337</v>
      </c>
      <c r="J17" s="141">
        <f t="shared" si="2"/>
        <v>0</v>
      </c>
      <c r="K17" s="141">
        <f t="shared" si="3"/>
        <v>-1.6666666666666607E-2</v>
      </c>
      <c r="L17" s="141">
        <f t="shared" si="4"/>
        <v>0.2661290322580645</v>
      </c>
    </row>
    <row r="18" spans="1:14">
      <c r="A18" s="141" t="s">
        <v>540</v>
      </c>
      <c r="B18" s="141">
        <v>2021</v>
      </c>
      <c r="C18" s="142">
        <v>44440</v>
      </c>
      <c r="D18" s="141">
        <v>290</v>
      </c>
      <c r="E18" s="141">
        <v>179</v>
      </c>
      <c r="F18" s="141">
        <v>469</v>
      </c>
      <c r="G18" s="141">
        <f t="shared" si="0"/>
        <v>0</v>
      </c>
      <c r="H18" s="141">
        <v>17.572419354838765</v>
      </c>
      <c r="I18" s="141">
        <f t="shared" si="1"/>
        <v>0.6303763440860215</v>
      </c>
      <c r="J18" s="141">
        <f t="shared" si="2"/>
        <v>0</v>
      </c>
      <c r="K18" s="141">
        <f t="shared" si="3"/>
        <v>3.0376344086021523E-2</v>
      </c>
      <c r="L18" s="141">
        <f t="shared" si="4"/>
        <v>0.24059139784946237</v>
      </c>
    </row>
    <row r="19" spans="1:14">
      <c r="A19" s="141" t="s">
        <v>541</v>
      </c>
      <c r="B19" s="141">
        <v>2021</v>
      </c>
      <c r="C19" s="142">
        <v>44470</v>
      </c>
      <c r="D19" s="141">
        <v>281</v>
      </c>
      <c r="E19" s="141">
        <v>127</v>
      </c>
      <c r="F19" s="141">
        <v>408</v>
      </c>
      <c r="G19" s="141">
        <f t="shared" si="0"/>
        <v>0</v>
      </c>
      <c r="H19" s="141">
        <v>16.058333333333486</v>
      </c>
      <c r="I19" s="141">
        <f t="shared" si="1"/>
        <v>0.56666666666666665</v>
      </c>
      <c r="J19" s="141">
        <f t="shared" si="2"/>
        <v>0</v>
      </c>
      <c r="K19" s="141">
        <f t="shared" si="3"/>
        <v>-3.3333333333333326E-2</v>
      </c>
      <c r="L19" s="141">
        <f t="shared" si="4"/>
        <v>0.1763888888888889</v>
      </c>
    </row>
    <row r="20" spans="1:14">
      <c r="A20" s="141" t="s">
        <v>542</v>
      </c>
      <c r="B20" s="141">
        <v>2021</v>
      </c>
      <c r="C20" s="142">
        <v>44501</v>
      </c>
      <c r="D20" s="141">
        <v>428</v>
      </c>
      <c r="E20" s="141">
        <v>149</v>
      </c>
      <c r="F20" s="141">
        <v>577</v>
      </c>
      <c r="G20" s="141">
        <f t="shared" si="0"/>
        <v>0</v>
      </c>
      <c r="H20" s="141">
        <v>9.8000000000000007</v>
      </c>
      <c r="I20" s="141">
        <f t="shared" si="1"/>
        <v>0.77553763440860213</v>
      </c>
      <c r="J20" s="141">
        <f t="shared" si="2"/>
        <v>0.43333333333333329</v>
      </c>
      <c r="K20" s="141">
        <f t="shared" si="3"/>
        <v>0.17553763440860215</v>
      </c>
      <c r="L20" s="141">
        <f t="shared" si="4"/>
        <v>0.20026881720430109</v>
      </c>
    </row>
    <row r="21" spans="1:14">
      <c r="A21" s="141" t="s">
        <v>1450</v>
      </c>
      <c r="B21" s="141">
        <v>8666</v>
      </c>
      <c r="C21" s="142">
        <v>44531</v>
      </c>
      <c r="E21" s="141">
        <v>2151</v>
      </c>
      <c r="F21" s="141">
        <v>10817</v>
      </c>
    </row>
    <row r="22" spans="1:14">
      <c r="C22" s="142">
        <v>44562</v>
      </c>
    </row>
    <row r="23" spans="1:14">
      <c r="D23" s="141">
        <f>SUM(D7:D20)</f>
        <v>8666</v>
      </c>
      <c r="E23" s="141">
        <f>SUM(E7:E20)</f>
        <v>2151</v>
      </c>
      <c r="F23" s="141">
        <f>SUM(F7:F20)</f>
        <v>10817</v>
      </c>
    </row>
    <row r="24" spans="1:14">
      <c r="N24" s="197"/>
    </row>
    <row r="25" spans="1:14">
      <c r="E25" s="141">
        <f>E21/F21</f>
        <v>0.19885365628177867</v>
      </c>
      <c r="F25" s="141" t="s">
        <v>1449</v>
      </c>
    </row>
    <row r="26" spans="1:14">
      <c r="J26" s="141" t="s">
        <v>1448</v>
      </c>
      <c r="N26" s="86"/>
    </row>
    <row r="27" spans="1:14">
      <c r="J27" s="141" t="s">
        <v>1447</v>
      </c>
    </row>
    <row r="28" spans="1:14">
      <c r="J28" s="141" t="s">
        <v>1446</v>
      </c>
      <c r="N28" s="86"/>
    </row>
  </sheetData>
  <hyperlinks>
    <hyperlink ref="P2" r:id="rId1"/>
  </hyperlinks>
  <pageMargins left="0.7" right="0.7" top="0.78740157499999996" bottom="0.78740157499999996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Z494"/>
  <sheetViews>
    <sheetView topLeftCell="A205" workbookViewId="0">
      <selection activeCell="D205" sqref="D205"/>
    </sheetView>
  </sheetViews>
  <sheetFormatPr defaultColWidth="5" defaultRowHeight="15"/>
  <cols>
    <col min="1" max="19" width="5" style="141"/>
    <col min="20" max="20" width="6" style="141" bestFit="1" customWidth="1"/>
    <col min="21" max="22" width="5" style="141"/>
    <col min="23" max="23" width="5" style="141" customWidth="1"/>
    <col min="24" max="16384" width="5" style="141"/>
  </cols>
  <sheetData>
    <row r="1" spans="1:3" ht="15.75">
      <c r="A1" s="191"/>
    </row>
    <row r="2" spans="1:3" ht="15.75">
      <c r="A2" s="191"/>
    </row>
    <row r="3" spans="1:3" ht="18">
      <c r="B3" s="190" t="s">
        <v>516</v>
      </c>
    </row>
    <row r="4" spans="1:3" ht="18">
      <c r="B4" s="190" t="s">
        <v>517</v>
      </c>
    </row>
    <row r="5" spans="1:3" ht="18">
      <c r="B5" s="190" t="s">
        <v>1392</v>
      </c>
    </row>
    <row r="6" spans="1:3" ht="18">
      <c r="A6" s="190"/>
    </row>
    <row r="7" spans="1:3">
      <c r="B7" s="189" t="s">
        <v>1391</v>
      </c>
    </row>
    <row r="8" spans="1:3">
      <c r="A8" s="189"/>
    </row>
    <row r="9" spans="1:3">
      <c r="B9" s="185" t="s">
        <v>1390</v>
      </c>
    </row>
    <row r="10" spans="1:3">
      <c r="A10" s="185"/>
    </row>
    <row r="11" spans="1:3">
      <c r="A11" s="185"/>
    </row>
    <row r="12" spans="1:3">
      <c r="B12" s="167"/>
      <c r="C12" s="188"/>
    </row>
    <row r="13" spans="1:3">
      <c r="B13" s="167"/>
      <c r="C13" s="167"/>
    </row>
    <row r="14" spans="1:3">
      <c r="B14" s="167"/>
      <c r="C14" s="167"/>
    </row>
    <row r="15" spans="1:3">
      <c r="B15" s="167"/>
      <c r="C15" s="187"/>
    </row>
    <row r="16" spans="1:3">
      <c r="A16" s="167"/>
    </row>
    <row r="17" spans="1:19">
      <c r="A17" s="167"/>
    </row>
    <row r="18" spans="1:19">
      <c r="B18" s="177" t="s">
        <v>1389</v>
      </c>
    </row>
    <row r="19" spans="1:19">
      <c r="A19" s="177"/>
    </row>
    <row r="20" spans="1:19">
      <c r="B20" s="167" t="s">
        <v>1388</v>
      </c>
      <c r="C20" s="167">
        <v>1</v>
      </c>
    </row>
    <row r="21" spans="1:19">
      <c r="B21" s="167" t="s">
        <v>1387</v>
      </c>
      <c r="C21" s="167" t="s">
        <v>1386</v>
      </c>
    </row>
    <row r="22" spans="1:19">
      <c r="A22" s="167"/>
    </row>
    <row r="23" spans="1:19">
      <c r="B23" s="178" t="s">
        <v>1385</v>
      </c>
    </row>
    <row r="24" spans="1:19">
      <c r="A24" s="185"/>
      <c r="L24" s="141" t="s">
        <v>1384</v>
      </c>
      <c r="M24" s="141" t="s">
        <v>1383</v>
      </c>
    </row>
    <row r="25" spans="1:19">
      <c r="B25" s="164" t="s">
        <v>1377</v>
      </c>
      <c r="C25" s="164" t="s">
        <v>1376</v>
      </c>
      <c r="D25" s="164" t="s">
        <v>1375</v>
      </c>
      <c r="E25" s="164" t="s">
        <v>1374</v>
      </c>
      <c r="L25" s="141">
        <f>SUM(L27:L38)</f>
        <v>2934.6</v>
      </c>
      <c r="M25" s="141">
        <f>SUM(M27:M38)</f>
        <v>4572.6000000000004</v>
      </c>
      <c r="O25" s="141" t="s">
        <v>1382</v>
      </c>
    </row>
    <row r="26" spans="1:19">
      <c r="B26" s="164" t="s">
        <v>1373</v>
      </c>
      <c r="C26" s="164" t="s">
        <v>1372</v>
      </c>
      <c r="D26" s="164" t="s">
        <v>1371</v>
      </c>
      <c r="E26" s="164" t="s">
        <v>1381</v>
      </c>
      <c r="F26" s="164" t="s">
        <v>1380</v>
      </c>
      <c r="G26" s="164" t="s">
        <v>1379</v>
      </c>
      <c r="H26" s="164" t="s">
        <v>1378</v>
      </c>
      <c r="I26" s="164" t="s">
        <v>532</v>
      </c>
      <c r="K26" s="164" t="s">
        <v>312</v>
      </c>
    </row>
    <row r="27" spans="1:19">
      <c r="B27" s="167" t="s">
        <v>1367</v>
      </c>
      <c r="C27" s="167">
        <v>31</v>
      </c>
      <c r="D27" s="167" t="s">
        <v>1366</v>
      </c>
      <c r="E27" s="167">
        <v>55.4</v>
      </c>
      <c r="F27" s="167">
        <v>193.5</v>
      </c>
      <c r="G27" s="167">
        <v>85.7</v>
      </c>
      <c r="H27" s="167">
        <v>85.7</v>
      </c>
      <c r="I27" s="167">
        <v>100.8</v>
      </c>
      <c r="J27" s="63">
        <v>44211</v>
      </c>
      <c r="K27" s="167">
        <v>-4.2</v>
      </c>
      <c r="L27" s="141">
        <f>C27*(15-K27)</f>
        <v>595.19999999999993</v>
      </c>
      <c r="M27" s="141">
        <f>C27*(21-K27)</f>
        <v>781.19999999999993</v>
      </c>
      <c r="O27" s="141">
        <f t="shared" ref="O27:O38" si="0">1000*E27/3.6/$C27/24</f>
        <v>20.683990442054959</v>
      </c>
      <c r="P27" s="141">
        <f t="shared" ref="P27:P38" si="1">1000*F27/3.6/$C27/24</f>
        <v>72.244623655913969</v>
      </c>
      <c r="Q27" s="141">
        <f t="shared" ref="Q27:Q38" si="2">1000*G27/3.6/$C27/24</f>
        <v>31.996714456391874</v>
      </c>
      <c r="R27" s="141">
        <f t="shared" ref="R27:R38" si="3">1000*H27/3.6/$C27/24</f>
        <v>31.996714456391874</v>
      </c>
      <c r="S27" s="141">
        <f t="shared" ref="S27:S38" si="4">1000*I27/3.6/$C27/24</f>
        <v>37.634408602150536</v>
      </c>
    </row>
    <row r="28" spans="1:19">
      <c r="B28" s="167" t="s">
        <v>1365</v>
      </c>
      <c r="C28" s="167">
        <v>28</v>
      </c>
      <c r="D28" s="167" t="s">
        <v>1364</v>
      </c>
      <c r="E28" s="167">
        <v>86.3</v>
      </c>
      <c r="F28" s="167">
        <v>282.7</v>
      </c>
      <c r="G28" s="167">
        <v>146.9</v>
      </c>
      <c r="H28" s="167">
        <v>146.9</v>
      </c>
      <c r="I28" s="167">
        <v>183.6</v>
      </c>
      <c r="J28" s="63">
        <v>44242</v>
      </c>
      <c r="K28" s="167">
        <v>-1.8</v>
      </c>
      <c r="L28" s="141">
        <f>C28*(15-K28)</f>
        <v>470.40000000000003</v>
      </c>
      <c r="M28" s="141">
        <f>C28*(21-K28)</f>
        <v>638.4</v>
      </c>
      <c r="O28" s="141">
        <f t="shared" si="0"/>
        <v>35.672949735449734</v>
      </c>
      <c r="P28" s="141">
        <f t="shared" si="1"/>
        <v>116.85681216931216</v>
      </c>
      <c r="Q28" s="141">
        <f t="shared" si="2"/>
        <v>60.722552910052912</v>
      </c>
      <c r="R28" s="141">
        <f t="shared" si="3"/>
        <v>60.722552910052912</v>
      </c>
      <c r="S28" s="141">
        <f t="shared" si="4"/>
        <v>75.892857142857139</v>
      </c>
    </row>
    <row r="29" spans="1:19">
      <c r="B29" s="167" t="s">
        <v>1363</v>
      </c>
      <c r="C29" s="167">
        <v>31</v>
      </c>
      <c r="D29" s="167" t="s">
        <v>1362</v>
      </c>
      <c r="E29" s="167">
        <v>105.3</v>
      </c>
      <c r="F29" s="167">
        <v>328.2</v>
      </c>
      <c r="G29" s="167">
        <v>207.4</v>
      </c>
      <c r="H29" s="167">
        <v>207.4</v>
      </c>
      <c r="I29" s="167">
        <v>309.60000000000002</v>
      </c>
      <c r="J29" s="63">
        <v>44270</v>
      </c>
      <c r="K29" s="167">
        <v>2.5</v>
      </c>
      <c r="L29" s="141">
        <f>C29*(15-K29)</f>
        <v>387.5</v>
      </c>
      <c r="M29" s="141">
        <f>C29*(21-K29)</f>
        <v>573.5</v>
      </c>
      <c r="O29" s="141">
        <f t="shared" si="0"/>
        <v>39.314516129032256</v>
      </c>
      <c r="P29" s="141">
        <f t="shared" si="1"/>
        <v>122.53584229390681</v>
      </c>
      <c r="Q29" s="141">
        <f t="shared" si="2"/>
        <v>77.434289127837516</v>
      </c>
      <c r="R29" s="141">
        <f t="shared" si="3"/>
        <v>77.434289127837516</v>
      </c>
      <c r="S29" s="141">
        <f t="shared" si="4"/>
        <v>115.59139784946235</v>
      </c>
    </row>
    <row r="30" spans="1:19">
      <c r="B30" s="167" t="s">
        <v>1361</v>
      </c>
      <c r="C30" s="167">
        <v>30</v>
      </c>
      <c r="D30" s="167" t="s">
        <v>1349</v>
      </c>
      <c r="E30" s="167">
        <v>137.19999999999999</v>
      </c>
      <c r="F30" s="167">
        <v>329.2</v>
      </c>
      <c r="G30" s="167">
        <v>269.7</v>
      </c>
      <c r="H30" s="167">
        <v>269.7</v>
      </c>
      <c r="I30" s="167">
        <v>457.2</v>
      </c>
      <c r="J30" s="63">
        <v>44301</v>
      </c>
      <c r="K30" s="167">
        <v>7.8</v>
      </c>
      <c r="L30" s="141">
        <f>C30*(15-K30)</f>
        <v>216</v>
      </c>
      <c r="M30" s="141">
        <f>C30*(21-K30)</f>
        <v>396</v>
      </c>
      <c r="O30" s="141">
        <f t="shared" si="0"/>
        <v>52.932098765432094</v>
      </c>
      <c r="P30" s="141">
        <f t="shared" si="1"/>
        <v>127.00617283950616</v>
      </c>
      <c r="Q30" s="141">
        <f t="shared" si="2"/>
        <v>104.05092592592592</v>
      </c>
      <c r="R30" s="141">
        <f t="shared" si="3"/>
        <v>104.05092592592592</v>
      </c>
      <c r="S30" s="141">
        <f t="shared" si="4"/>
        <v>176.38888888888889</v>
      </c>
    </row>
    <row r="31" spans="1:19">
      <c r="B31" s="167" t="s">
        <v>1360</v>
      </c>
      <c r="C31" s="167">
        <v>31</v>
      </c>
      <c r="D31" s="167" t="s">
        <v>1359</v>
      </c>
      <c r="E31" s="167">
        <v>162</v>
      </c>
      <c r="F31" s="167">
        <v>297</v>
      </c>
      <c r="G31" s="167">
        <v>302.39999999999998</v>
      </c>
      <c r="H31" s="167">
        <v>302.39999999999998</v>
      </c>
      <c r="I31" s="167">
        <v>540</v>
      </c>
      <c r="J31" s="63">
        <v>44331</v>
      </c>
      <c r="K31" s="167">
        <v>12.7</v>
      </c>
      <c r="L31" s="141">
        <f>C31*(15-K31)</f>
        <v>71.300000000000026</v>
      </c>
      <c r="M31" s="141">
        <f>C31*(21-K31)</f>
        <v>257.3</v>
      </c>
      <c r="O31" s="141">
        <f t="shared" si="0"/>
        <v>60.483870967741929</v>
      </c>
      <c r="P31" s="141">
        <f t="shared" si="1"/>
        <v>110.88709677419355</v>
      </c>
      <c r="Q31" s="141">
        <f t="shared" si="2"/>
        <v>112.9032258064516</v>
      </c>
      <c r="R31" s="141">
        <f t="shared" si="3"/>
        <v>112.9032258064516</v>
      </c>
      <c r="S31" s="141">
        <f t="shared" si="4"/>
        <v>201.61290322580646</v>
      </c>
    </row>
    <row r="32" spans="1:19">
      <c r="B32" s="167" t="s">
        <v>1358</v>
      </c>
      <c r="C32" s="167">
        <v>30</v>
      </c>
      <c r="D32" s="167" t="s">
        <v>1357</v>
      </c>
      <c r="E32" s="167">
        <v>180.9</v>
      </c>
      <c r="F32" s="167">
        <v>282.60000000000002</v>
      </c>
      <c r="G32" s="167">
        <v>310.89999999999998</v>
      </c>
      <c r="H32" s="167">
        <v>310.89999999999998</v>
      </c>
      <c r="I32" s="167">
        <v>565.20000000000005</v>
      </c>
      <c r="J32" s="63">
        <v>44362</v>
      </c>
      <c r="K32" s="167">
        <v>15.5</v>
      </c>
      <c r="O32" s="141">
        <f t="shared" si="0"/>
        <v>69.791666666666671</v>
      </c>
      <c r="P32" s="141">
        <f t="shared" si="1"/>
        <v>109.02777777777777</v>
      </c>
      <c r="Q32" s="141">
        <f t="shared" si="2"/>
        <v>119.94598765432097</v>
      </c>
      <c r="R32" s="141">
        <f t="shared" si="3"/>
        <v>119.94598765432097</v>
      </c>
      <c r="S32" s="141">
        <f t="shared" si="4"/>
        <v>218.05555555555554</v>
      </c>
    </row>
    <row r="33" spans="1:19">
      <c r="B33" s="167" t="s">
        <v>1356</v>
      </c>
      <c r="C33" s="167">
        <v>31</v>
      </c>
      <c r="D33" s="167" t="s">
        <v>1355</v>
      </c>
      <c r="E33" s="167">
        <v>168.5</v>
      </c>
      <c r="F33" s="167">
        <v>282.7</v>
      </c>
      <c r="G33" s="167">
        <v>299</v>
      </c>
      <c r="H33" s="167">
        <v>299</v>
      </c>
      <c r="I33" s="167">
        <v>543.6</v>
      </c>
      <c r="J33" s="63">
        <v>44392</v>
      </c>
      <c r="K33" s="167">
        <v>17.100000000000001</v>
      </c>
      <c r="O33" s="141">
        <f t="shared" si="0"/>
        <v>62.910692951015534</v>
      </c>
      <c r="P33" s="141">
        <f t="shared" si="1"/>
        <v>105.54808841099164</v>
      </c>
      <c r="Q33" s="141">
        <f t="shared" si="2"/>
        <v>111.63381123058542</v>
      </c>
      <c r="R33" s="141">
        <f t="shared" si="3"/>
        <v>111.63381123058542</v>
      </c>
      <c r="S33" s="141">
        <f t="shared" si="4"/>
        <v>202.95698924731184</v>
      </c>
    </row>
    <row r="34" spans="1:19">
      <c r="B34" s="167" t="s">
        <v>1354</v>
      </c>
      <c r="C34" s="167">
        <v>31</v>
      </c>
      <c r="D34" s="167" t="s">
        <v>1353</v>
      </c>
      <c r="E34" s="167">
        <v>130.69999999999999</v>
      </c>
      <c r="F34" s="167">
        <v>270.10000000000002</v>
      </c>
      <c r="G34" s="167">
        <v>248.3</v>
      </c>
      <c r="H34" s="167">
        <v>248.3</v>
      </c>
      <c r="I34" s="167">
        <v>435.6</v>
      </c>
      <c r="J34" s="63">
        <v>44423</v>
      </c>
      <c r="K34" s="167">
        <v>16.5</v>
      </c>
      <c r="O34" s="141">
        <f t="shared" si="0"/>
        <v>48.797789725209071</v>
      </c>
      <c r="P34" s="141">
        <f t="shared" si="1"/>
        <v>100.84378733572282</v>
      </c>
      <c r="Q34" s="141">
        <f t="shared" si="2"/>
        <v>92.704599761051369</v>
      </c>
      <c r="R34" s="141">
        <f t="shared" si="3"/>
        <v>92.704599761051369</v>
      </c>
      <c r="S34" s="141">
        <f t="shared" si="4"/>
        <v>162.63440860215053</v>
      </c>
    </row>
    <row r="35" spans="1:19">
      <c r="B35" s="167" t="s">
        <v>1352</v>
      </c>
      <c r="C35" s="167">
        <v>30</v>
      </c>
      <c r="D35" s="167" t="s">
        <v>1351</v>
      </c>
      <c r="E35" s="167">
        <v>97.8</v>
      </c>
      <c r="F35" s="167">
        <v>296.8</v>
      </c>
      <c r="G35" s="167">
        <v>209.5</v>
      </c>
      <c r="H35" s="167">
        <v>209.5</v>
      </c>
      <c r="I35" s="167">
        <v>349.2</v>
      </c>
      <c r="J35" s="63">
        <v>44454</v>
      </c>
      <c r="K35" s="167">
        <v>12.6</v>
      </c>
      <c r="L35" s="141">
        <f>C35*(15-K35)</f>
        <v>72.000000000000014</v>
      </c>
      <c r="M35" s="141">
        <f>C35*(21-K35)</f>
        <v>252</v>
      </c>
      <c r="O35" s="141">
        <f t="shared" si="0"/>
        <v>37.731481481481474</v>
      </c>
      <c r="P35" s="141">
        <f t="shared" si="1"/>
        <v>114.50617283950616</v>
      </c>
      <c r="Q35" s="141">
        <f t="shared" si="2"/>
        <v>80.825617283950621</v>
      </c>
      <c r="R35" s="141">
        <f t="shared" si="3"/>
        <v>80.825617283950621</v>
      </c>
      <c r="S35" s="141">
        <f t="shared" si="4"/>
        <v>134.72222222222223</v>
      </c>
    </row>
    <row r="36" spans="1:19">
      <c r="B36" s="167" t="s">
        <v>1350</v>
      </c>
      <c r="C36" s="167">
        <v>31</v>
      </c>
      <c r="D36" s="167" t="s">
        <v>1349</v>
      </c>
      <c r="E36" s="167">
        <v>62.6</v>
      </c>
      <c r="F36" s="167">
        <v>248.5</v>
      </c>
      <c r="G36" s="167">
        <v>131.5</v>
      </c>
      <c r="H36" s="167">
        <v>131.5</v>
      </c>
      <c r="I36" s="167">
        <v>208.8</v>
      </c>
      <c r="J36" s="63">
        <v>44484</v>
      </c>
      <c r="K36" s="167">
        <v>7.8</v>
      </c>
      <c r="L36" s="141">
        <f>C36*(15-K36)</f>
        <v>223.20000000000002</v>
      </c>
      <c r="M36" s="141">
        <f>C36*(21-K36)</f>
        <v>409.2</v>
      </c>
      <c r="O36" s="141">
        <f t="shared" si="0"/>
        <v>23.372162485065711</v>
      </c>
      <c r="P36" s="141">
        <f t="shared" si="1"/>
        <v>92.779271206690566</v>
      </c>
      <c r="Q36" s="141">
        <f t="shared" si="2"/>
        <v>49.096475507765824</v>
      </c>
      <c r="R36" s="141">
        <f t="shared" si="3"/>
        <v>49.096475507765824</v>
      </c>
      <c r="S36" s="141">
        <f t="shared" si="4"/>
        <v>77.956989247311824</v>
      </c>
    </row>
    <row r="37" spans="1:19">
      <c r="B37" s="167" t="s">
        <v>1348</v>
      </c>
      <c r="C37" s="167">
        <v>30</v>
      </c>
      <c r="D37" s="167" t="s">
        <v>1347</v>
      </c>
      <c r="E37" s="167">
        <v>40</v>
      </c>
      <c r="F37" s="167">
        <v>175</v>
      </c>
      <c r="G37" s="167">
        <v>70.2</v>
      </c>
      <c r="H37" s="167">
        <v>70.2</v>
      </c>
      <c r="I37" s="167">
        <v>108</v>
      </c>
      <c r="J37" s="63">
        <v>44515</v>
      </c>
      <c r="K37" s="167">
        <v>2.6</v>
      </c>
      <c r="L37" s="141">
        <f>C37*(15-K37)</f>
        <v>372</v>
      </c>
      <c r="M37" s="141">
        <f>C37*(21-K37)</f>
        <v>552</v>
      </c>
      <c r="O37" s="141">
        <f t="shared" si="0"/>
        <v>15.4320987654321</v>
      </c>
      <c r="P37" s="141">
        <f t="shared" si="1"/>
        <v>67.51543209876543</v>
      </c>
      <c r="Q37" s="141">
        <f t="shared" si="2"/>
        <v>27.083333333333332</v>
      </c>
      <c r="R37" s="141">
        <f t="shared" si="3"/>
        <v>27.083333333333332</v>
      </c>
      <c r="S37" s="141">
        <f t="shared" si="4"/>
        <v>41.666666666666664</v>
      </c>
    </row>
    <row r="38" spans="1:19">
      <c r="B38" s="167" t="s">
        <v>1346</v>
      </c>
      <c r="C38" s="167">
        <v>31</v>
      </c>
      <c r="D38" s="167" t="s">
        <v>1345</v>
      </c>
      <c r="E38" s="167">
        <v>34.799999999999997</v>
      </c>
      <c r="F38" s="167">
        <v>160.30000000000001</v>
      </c>
      <c r="G38" s="167">
        <v>58.2</v>
      </c>
      <c r="H38" s="167">
        <v>58.2</v>
      </c>
      <c r="I38" s="167">
        <v>75.599999999999994</v>
      </c>
      <c r="J38" s="63">
        <v>44545</v>
      </c>
      <c r="K38" s="167">
        <v>-2</v>
      </c>
      <c r="L38" s="141">
        <f>C38*(15-K38)</f>
        <v>527</v>
      </c>
      <c r="M38" s="141">
        <f>C38*(21-K38)</f>
        <v>713</v>
      </c>
      <c r="O38" s="141">
        <f t="shared" si="0"/>
        <v>12.992831541218637</v>
      </c>
      <c r="P38" s="141">
        <f t="shared" si="1"/>
        <v>59.849163679808839</v>
      </c>
      <c r="Q38" s="141">
        <f t="shared" si="2"/>
        <v>21.729390681003583</v>
      </c>
      <c r="R38" s="141">
        <f t="shared" si="3"/>
        <v>21.729390681003583</v>
      </c>
      <c r="S38" s="141">
        <f t="shared" si="4"/>
        <v>28.2258064516129</v>
      </c>
    </row>
    <row r="39" spans="1:19">
      <c r="A39" s="167"/>
    </row>
    <row r="40" spans="1:19">
      <c r="B40" s="164" t="s">
        <v>1377</v>
      </c>
      <c r="C40" s="164" t="s">
        <v>1376</v>
      </c>
      <c r="D40" s="164" t="s">
        <v>1375</v>
      </c>
      <c r="E40" s="164" t="s">
        <v>1374</v>
      </c>
      <c r="L40" s="141">
        <f>SUM(L42:L53)</f>
        <v>2808</v>
      </c>
      <c r="M40" s="141">
        <f>SUM(M42:M53)</f>
        <v>4998</v>
      </c>
    </row>
    <row r="41" spans="1:19">
      <c r="B41" s="164" t="s">
        <v>1373</v>
      </c>
      <c r="C41" s="164" t="s">
        <v>1372</v>
      </c>
      <c r="D41" s="164" t="s">
        <v>1371</v>
      </c>
      <c r="E41" s="164" t="s">
        <v>1370</v>
      </c>
      <c r="F41" s="164" t="s">
        <v>1369</v>
      </c>
      <c r="G41" s="164" t="s">
        <v>1368</v>
      </c>
      <c r="H41" s="164" t="s">
        <v>549</v>
      </c>
    </row>
    <row r="42" spans="1:19">
      <c r="B42" s="167" t="s">
        <v>1367</v>
      </c>
      <c r="C42" s="167">
        <v>31</v>
      </c>
      <c r="D42" s="167" t="s">
        <v>1366</v>
      </c>
      <c r="E42" s="167">
        <v>58.5</v>
      </c>
      <c r="F42" s="167">
        <v>58.5</v>
      </c>
      <c r="G42" s="167">
        <v>154.19999999999999</v>
      </c>
      <c r="H42" s="167">
        <v>154.19999999999999</v>
      </c>
      <c r="J42" s="63">
        <v>44211</v>
      </c>
      <c r="K42" s="167">
        <v>-4.2</v>
      </c>
      <c r="L42" s="141">
        <f t="shared" ref="L42:L53" si="5">C42*(15-K42)</f>
        <v>595.19999999999993</v>
      </c>
      <c r="M42" s="141">
        <f t="shared" ref="M42:M53" si="6">C42*(21-K42)</f>
        <v>781.19999999999993</v>
      </c>
      <c r="O42" s="141">
        <f t="shared" ref="O42:O53" si="7">1000*E42/3.6/$C42/24</f>
        <v>21.841397849462368</v>
      </c>
      <c r="P42" s="141">
        <f t="shared" ref="P42:P53" si="8">1000*F42/3.6/$C42/24</f>
        <v>21.841397849462368</v>
      </c>
      <c r="Q42" s="141">
        <f t="shared" ref="Q42:Q53" si="9">1000*G42/3.6/$C42/24</f>
        <v>57.571684587813621</v>
      </c>
      <c r="R42" s="141">
        <f t="shared" ref="R42:R53" si="10">1000*H42/3.6/$C42/24</f>
        <v>57.571684587813621</v>
      </c>
      <c r="S42" s="141">
        <f t="shared" ref="S42:S53" si="11">1000*I42/3.6/$C42/24</f>
        <v>0</v>
      </c>
    </row>
    <row r="43" spans="1:19">
      <c r="B43" s="167" t="s">
        <v>1365</v>
      </c>
      <c r="C43" s="167">
        <v>28</v>
      </c>
      <c r="D43" s="167" t="s">
        <v>1364</v>
      </c>
      <c r="E43" s="167">
        <v>95.5</v>
      </c>
      <c r="F43" s="167">
        <v>95.5</v>
      </c>
      <c r="G43" s="167">
        <v>233.2</v>
      </c>
      <c r="H43" s="167">
        <v>233.2</v>
      </c>
      <c r="J43" s="63">
        <v>44242</v>
      </c>
      <c r="K43" s="167">
        <v>-1.8</v>
      </c>
      <c r="L43" s="141">
        <f t="shared" si="5"/>
        <v>470.40000000000003</v>
      </c>
      <c r="M43" s="141">
        <f t="shared" si="6"/>
        <v>638.4</v>
      </c>
      <c r="O43" s="141">
        <f t="shared" si="7"/>
        <v>39.475859788359791</v>
      </c>
      <c r="P43" s="141">
        <f t="shared" si="8"/>
        <v>39.475859788359791</v>
      </c>
      <c r="Q43" s="141">
        <f t="shared" si="9"/>
        <v>96.395502645502631</v>
      </c>
      <c r="R43" s="141">
        <f t="shared" si="10"/>
        <v>96.395502645502631</v>
      </c>
      <c r="S43" s="141">
        <f t="shared" si="11"/>
        <v>0</v>
      </c>
    </row>
    <row r="44" spans="1:19">
      <c r="B44" s="167" t="s">
        <v>1363</v>
      </c>
      <c r="C44" s="167">
        <v>31</v>
      </c>
      <c r="D44" s="167" t="s">
        <v>1362</v>
      </c>
      <c r="E44" s="167">
        <v>133.1</v>
      </c>
      <c r="F44" s="167">
        <v>133.1</v>
      </c>
      <c r="G44" s="167">
        <v>291</v>
      </c>
      <c r="H44" s="167">
        <v>291</v>
      </c>
      <c r="J44" s="63">
        <v>44270</v>
      </c>
      <c r="K44" s="167">
        <v>2.5</v>
      </c>
      <c r="L44" s="141">
        <f t="shared" si="5"/>
        <v>387.5</v>
      </c>
      <c r="M44" s="141">
        <f t="shared" si="6"/>
        <v>573.5</v>
      </c>
      <c r="O44" s="141">
        <f t="shared" si="7"/>
        <v>49.693847072879322</v>
      </c>
      <c r="P44" s="141">
        <f t="shared" si="8"/>
        <v>49.693847072879322</v>
      </c>
      <c r="Q44" s="141">
        <f t="shared" si="9"/>
        <v>108.64695340501792</v>
      </c>
      <c r="R44" s="141">
        <f t="shared" si="10"/>
        <v>108.64695340501792</v>
      </c>
      <c r="S44" s="141">
        <f t="shared" si="11"/>
        <v>0</v>
      </c>
    </row>
    <row r="45" spans="1:19">
      <c r="B45" s="167" t="s">
        <v>1361</v>
      </c>
      <c r="C45" s="167">
        <v>30</v>
      </c>
      <c r="D45" s="167" t="s">
        <v>1349</v>
      </c>
      <c r="E45" s="167">
        <v>196.6</v>
      </c>
      <c r="F45" s="167">
        <v>196.6</v>
      </c>
      <c r="G45" s="167">
        <v>329.2</v>
      </c>
      <c r="H45" s="167">
        <v>329.2</v>
      </c>
      <c r="J45" s="63">
        <v>44301</v>
      </c>
      <c r="K45" s="167">
        <v>7.8</v>
      </c>
      <c r="L45" s="141">
        <f t="shared" si="5"/>
        <v>216</v>
      </c>
      <c r="M45" s="141">
        <f t="shared" si="6"/>
        <v>396</v>
      </c>
      <c r="O45" s="141">
        <f t="shared" si="7"/>
        <v>75.848765432098759</v>
      </c>
      <c r="P45" s="141">
        <f t="shared" si="8"/>
        <v>75.848765432098759</v>
      </c>
      <c r="Q45" s="141">
        <f t="shared" si="9"/>
        <v>127.00617283950616</v>
      </c>
      <c r="R45" s="141">
        <f t="shared" si="10"/>
        <v>127.00617283950616</v>
      </c>
      <c r="S45" s="141">
        <f t="shared" si="11"/>
        <v>0</v>
      </c>
    </row>
    <row r="46" spans="1:19">
      <c r="B46" s="167" t="s">
        <v>1360</v>
      </c>
      <c r="C46" s="167">
        <v>31</v>
      </c>
      <c r="D46" s="167" t="s">
        <v>1359</v>
      </c>
      <c r="E46" s="167">
        <v>232.2</v>
      </c>
      <c r="F46" s="167">
        <v>232.2</v>
      </c>
      <c r="G46" s="167">
        <v>324</v>
      </c>
      <c r="H46" s="167">
        <v>324</v>
      </c>
      <c r="J46" s="63">
        <v>44331</v>
      </c>
      <c r="K46" s="167">
        <v>12.7</v>
      </c>
      <c r="L46" s="141">
        <f t="shared" si="5"/>
        <v>71.300000000000026</v>
      </c>
      <c r="M46" s="141">
        <f t="shared" si="6"/>
        <v>257.3</v>
      </c>
      <c r="O46" s="141">
        <f t="shared" si="7"/>
        <v>86.693548387096769</v>
      </c>
      <c r="P46" s="141">
        <f t="shared" si="8"/>
        <v>86.693548387096769</v>
      </c>
      <c r="Q46" s="141">
        <f t="shared" si="9"/>
        <v>120.96774193548386</v>
      </c>
      <c r="R46" s="141">
        <f t="shared" si="10"/>
        <v>120.96774193548386</v>
      </c>
      <c r="S46" s="141">
        <f t="shared" si="11"/>
        <v>0</v>
      </c>
    </row>
    <row r="47" spans="1:19">
      <c r="B47" s="167" t="s">
        <v>1358</v>
      </c>
      <c r="C47" s="167">
        <v>30</v>
      </c>
      <c r="D47" s="167" t="s">
        <v>1357</v>
      </c>
      <c r="E47" s="167">
        <v>248.7</v>
      </c>
      <c r="F47" s="167">
        <v>248.7</v>
      </c>
      <c r="G47" s="167">
        <v>316.5</v>
      </c>
      <c r="H47" s="167">
        <v>316.5</v>
      </c>
      <c r="J47" s="63">
        <v>44362</v>
      </c>
      <c r="K47" s="167">
        <v>15.5</v>
      </c>
      <c r="L47" s="141">
        <f t="shared" si="5"/>
        <v>-15</v>
      </c>
      <c r="M47" s="141">
        <f t="shared" si="6"/>
        <v>165</v>
      </c>
      <c r="O47" s="141">
        <f t="shared" si="7"/>
        <v>95.949074074074076</v>
      </c>
      <c r="P47" s="141">
        <f t="shared" si="8"/>
        <v>95.949074074074076</v>
      </c>
      <c r="Q47" s="141">
        <f t="shared" si="9"/>
        <v>122.10648148148148</v>
      </c>
      <c r="R47" s="141">
        <f t="shared" si="10"/>
        <v>122.10648148148148</v>
      </c>
      <c r="S47" s="141">
        <f t="shared" si="11"/>
        <v>0</v>
      </c>
    </row>
    <row r="48" spans="1:19">
      <c r="B48" s="167" t="s">
        <v>1356</v>
      </c>
      <c r="C48" s="167">
        <v>31</v>
      </c>
      <c r="D48" s="167" t="s">
        <v>1355</v>
      </c>
      <c r="E48" s="167">
        <v>239.2</v>
      </c>
      <c r="F48" s="167">
        <v>239.2</v>
      </c>
      <c r="G48" s="167">
        <v>309.89999999999998</v>
      </c>
      <c r="H48" s="167">
        <v>309.89999999999998</v>
      </c>
      <c r="J48" s="63">
        <v>44392</v>
      </c>
      <c r="K48" s="167">
        <v>17.100000000000001</v>
      </c>
      <c r="L48" s="141">
        <f t="shared" si="5"/>
        <v>-65.100000000000051</v>
      </c>
      <c r="M48" s="141">
        <f t="shared" si="6"/>
        <v>120.89999999999995</v>
      </c>
      <c r="O48" s="141">
        <f t="shared" si="7"/>
        <v>89.307048984468338</v>
      </c>
      <c r="P48" s="141">
        <f t="shared" si="8"/>
        <v>89.307048984468338</v>
      </c>
      <c r="Q48" s="141">
        <f t="shared" si="9"/>
        <v>115.70340501792113</v>
      </c>
      <c r="R48" s="141">
        <f t="shared" si="10"/>
        <v>115.70340501792113</v>
      </c>
      <c r="S48" s="141">
        <f t="shared" si="11"/>
        <v>0</v>
      </c>
    </row>
    <row r="49" spans="1:19">
      <c r="B49" s="167" t="s">
        <v>1354</v>
      </c>
      <c r="C49" s="167">
        <v>31</v>
      </c>
      <c r="D49" s="167" t="s">
        <v>1353</v>
      </c>
      <c r="E49" s="167">
        <v>183</v>
      </c>
      <c r="F49" s="167">
        <v>183</v>
      </c>
      <c r="G49" s="167">
        <v>283.10000000000002</v>
      </c>
      <c r="H49" s="167">
        <v>283.10000000000002</v>
      </c>
      <c r="J49" s="63">
        <v>44423</v>
      </c>
      <c r="K49" s="167">
        <v>16.5</v>
      </c>
      <c r="L49" s="141">
        <f t="shared" si="5"/>
        <v>-46.5</v>
      </c>
      <c r="M49" s="141">
        <f t="shared" si="6"/>
        <v>139.5</v>
      </c>
      <c r="O49" s="141">
        <f t="shared" si="7"/>
        <v>68.324372759856615</v>
      </c>
      <c r="P49" s="141">
        <f t="shared" si="8"/>
        <v>68.324372759856615</v>
      </c>
      <c r="Q49" s="141">
        <f t="shared" si="9"/>
        <v>105.69743130227</v>
      </c>
      <c r="R49" s="141">
        <f t="shared" si="10"/>
        <v>105.69743130227</v>
      </c>
      <c r="S49" s="141">
        <f t="shared" si="11"/>
        <v>0</v>
      </c>
    </row>
    <row r="50" spans="1:19">
      <c r="B50" s="167" t="s">
        <v>1352</v>
      </c>
      <c r="C50" s="167">
        <v>30</v>
      </c>
      <c r="D50" s="167" t="s">
        <v>1351</v>
      </c>
      <c r="E50" s="167">
        <v>132.69999999999999</v>
      </c>
      <c r="F50" s="167">
        <v>132.69999999999999</v>
      </c>
      <c r="G50" s="167">
        <v>275.89999999999998</v>
      </c>
      <c r="H50" s="167">
        <v>275.89999999999998</v>
      </c>
      <c r="J50" s="63">
        <v>44454</v>
      </c>
      <c r="K50" s="167">
        <v>12.6</v>
      </c>
      <c r="L50" s="141">
        <f t="shared" si="5"/>
        <v>72.000000000000014</v>
      </c>
      <c r="M50" s="141">
        <f t="shared" si="6"/>
        <v>252</v>
      </c>
      <c r="O50" s="141">
        <f t="shared" si="7"/>
        <v>51.195987654320987</v>
      </c>
      <c r="P50" s="141">
        <f t="shared" si="8"/>
        <v>51.195987654320987</v>
      </c>
      <c r="Q50" s="141">
        <f t="shared" si="9"/>
        <v>106.4429012345679</v>
      </c>
      <c r="R50" s="141">
        <f t="shared" si="10"/>
        <v>106.4429012345679</v>
      </c>
      <c r="S50" s="141">
        <f t="shared" si="11"/>
        <v>0</v>
      </c>
    </row>
    <row r="51" spans="1:19">
      <c r="B51" s="167" t="s">
        <v>1350</v>
      </c>
      <c r="C51" s="167">
        <v>31</v>
      </c>
      <c r="D51" s="167" t="s">
        <v>1349</v>
      </c>
      <c r="E51" s="167">
        <v>77.3</v>
      </c>
      <c r="F51" s="167">
        <v>77.3</v>
      </c>
      <c r="G51" s="167">
        <v>210.9</v>
      </c>
      <c r="H51" s="167">
        <v>210.9</v>
      </c>
      <c r="J51" s="63">
        <v>44484</v>
      </c>
      <c r="K51" s="167">
        <v>7.8</v>
      </c>
      <c r="L51" s="141">
        <f t="shared" si="5"/>
        <v>223.20000000000002</v>
      </c>
      <c r="M51" s="141">
        <f t="shared" si="6"/>
        <v>409.2</v>
      </c>
      <c r="O51" s="141">
        <f t="shared" si="7"/>
        <v>28.860513739545997</v>
      </c>
      <c r="P51" s="141">
        <f t="shared" si="8"/>
        <v>28.860513739545997</v>
      </c>
      <c r="Q51" s="141">
        <f t="shared" si="9"/>
        <v>78.741039426523287</v>
      </c>
      <c r="R51" s="141">
        <f t="shared" si="10"/>
        <v>78.741039426523287</v>
      </c>
      <c r="S51" s="141">
        <f t="shared" si="11"/>
        <v>0</v>
      </c>
    </row>
    <row r="52" spans="1:19">
      <c r="B52" s="167" t="s">
        <v>1348</v>
      </c>
      <c r="C52" s="167">
        <v>30</v>
      </c>
      <c r="D52" s="167" t="s">
        <v>1347</v>
      </c>
      <c r="E52" s="167">
        <v>43.2</v>
      </c>
      <c r="F52" s="167">
        <v>43.2</v>
      </c>
      <c r="G52" s="167">
        <v>139.30000000000001</v>
      </c>
      <c r="H52" s="167">
        <v>139.30000000000001</v>
      </c>
      <c r="J52" s="63">
        <v>44515</v>
      </c>
      <c r="K52" s="167">
        <v>2.6</v>
      </c>
      <c r="L52" s="141">
        <f t="shared" si="5"/>
        <v>372</v>
      </c>
      <c r="M52" s="141">
        <f t="shared" si="6"/>
        <v>552</v>
      </c>
      <c r="O52" s="141">
        <f t="shared" si="7"/>
        <v>16.666666666666668</v>
      </c>
      <c r="P52" s="141">
        <f t="shared" si="8"/>
        <v>16.666666666666668</v>
      </c>
      <c r="Q52" s="141">
        <f t="shared" si="9"/>
        <v>53.742283950617285</v>
      </c>
      <c r="R52" s="141">
        <f t="shared" si="10"/>
        <v>53.742283950617285</v>
      </c>
      <c r="S52" s="141">
        <f t="shared" si="11"/>
        <v>0</v>
      </c>
    </row>
    <row r="53" spans="1:19">
      <c r="B53" s="167" t="s">
        <v>1346</v>
      </c>
      <c r="C53" s="167">
        <v>31</v>
      </c>
      <c r="D53" s="167" t="s">
        <v>1345</v>
      </c>
      <c r="E53" s="167">
        <v>37</v>
      </c>
      <c r="F53" s="167">
        <v>37</v>
      </c>
      <c r="G53" s="167">
        <v>124.7</v>
      </c>
      <c r="H53" s="167">
        <v>124.7</v>
      </c>
      <c r="J53" s="63">
        <v>44545</v>
      </c>
      <c r="K53" s="167">
        <v>-2</v>
      </c>
      <c r="L53" s="141">
        <f t="shared" si="5"/>
        <v>527</v>
      </c>
      <c r="M53" s="141">
        <f t="shared" si="6"/>
        <v>713</v>
      </c>
      <c r="O53" s="141">
        <f t="shared" si="7"/>
        <v>13.814217443249701</v>
      </c>
      <c r="P53" s="141">
        <f t="shared" si="8"/>
        <v>13.814217443249701</v>
      </c>
      <c r="Q53" s="141">
        <f t="shared" si="9"/>
        <v>46.557646356033452</v>
      </c>
      <c r="R53" s="141">
        <f t="shared" si="10"/>
        <v>46.557646356033452</v>
      </c>
      <c r="S53" s="141">
        <f t="shared" si="11"/>
        <v>0</v>
      </c>
    </row>
    <row r="54" spans="1:19">
      <c r="A54" s="167"/>
    </row>
    <row r="55" spans="1:19">
      <c r="A55" s="167"/>
    </row>
    <row r="56" spans="1:19">
      <c r="B56" s="177" t="s">
        <v>1344</v>
      </c>
    </row>
    <row r="57" spans="1:19">
      <c r="A57" s="177"/>
    </row>
    <row r="58" spans="1:19">
      <c r="B58" s="166" t="s">
        <v>1343</v>
      </c>
    </row>
    <row r="59" spans="1:19">
      <c r="A59" s="186"/>
    </row>
    <row r="60" spans="1:19">
      <c r="B60" s="185" t="s">
        <v>552</v>
      </c>
    </row>
    <row r="61" spans="1:19">
      <c r="A61" s="184"/>
    </row>
    <row r="62" spans="1:19">
      <c r="B62" s="167"/>
      <c r="C62" s="167"/>
    </row>
    <row r="63" spans="1:19">
      <c r="B63" s="167" t="s">
        <v>1342</v>
      </c>
      <c r="C63" s="167" t="s">
        <v>1341</v>
      </c>
    </row>
    <row r="64" spans="1:19">
      <c r="B64" s="167" t="s">
        <v>1340</v>
      </c>
      <c r="C64" s="167" t="s">
        <v>1339</v>
      </c>
    </row>
    <row r="65" spans="1:3">
      <c r="A65" s="186"/>
    </row>
    <row r="66" spans="1:3">
      <c r="B66" s="167" t="s">
        <v>1247</v>
      </c>
      <c r="C66" s="167" t="s">
        <v>1246</v>
      </c>
    </row>
    <row r="67" spans="1:3">
      <c r="B67" s="167" t="s">
        <v>1245</v>
      </c>
      <c r="C67" s="167" t="s">
        <v>1244</v>
      </c>
    </row>
    <row r="68" spans="1:3">
      <c r="A68" s="186"/>
    </row>
    <row r="69" spans="1:3">
      <c r="B69" s="167" t="s">
        <v>1243</v>
      </c>
      <c r="C69" s="167" t="s">
        <v>1242</v>
      </c>
    </row>
    <row r="70" spans="1:3">
      <c r="A70" s="186"/>
    </row>
    <row r="71" spans="1:3">
      <c r="B71" s="167" t="s">
        <v>1338</v>
      </c>
      <c r="C71" s="167" t="s">
        <v>1337</v>
      </c>
    </row>
    <row r="72" spans="1:3">
      <c r="B72" s="167" t="s">
        <v>1336</v>
      </c>
      <c r="C72" s="167" t="s">
        <v>1335</v>
      </c>
    </row>
    <row r="73" spans="1:3">
      <c r="B73" s="167" t="s">
        <v>1327</v>
      </c>
      <c r="C73" s="167" t="s">
        <v>1334</v>
      </c>
    </row>
    <row r="74" spans="1:3">
      <c r="B74" s="167" t="s">
        <v>1327</v>
      </c>
      <c r="C74" s="167" t="s">
        <v>564</v>
      </c>
    </row>
    <row r="75" spans="1:3">
      <c r="B75" s="167" t="s">
        <v>1327</v>
      </c>
      <c r="C75" s="167" t="s">
        <v>1333</v>
      </c>
    </row>
    <row r="76" spans="1:3">
      <c r="B76" s="167" t="s">
        <v>1327</v>
      </c>
      <c r="C76" s="167" t="s">
        <v>1332</v>
      </c>
    </row>
    <row r="77" spans="1:3">
      <c r="B77" s="167" t="s">
        <v>1327</v>
      </c>
      <c r="C77" s="167" t="s">
        <v>568</v>
      </c>
    </row>
    <row r="78" spans="1:3">
      <c r="A78" s="186"/>
    </row>
    <row r="79" spans="1:3">
      <c r="B79" s="167" t="s">
        <v>1331</v>
      </c>
      <c r="C79" s="167" t="s">
        <v>1330</v>
      </c>
    </row>
    <row r="80" spans="1:3">
      <c r="B80" s="167" t="s">
        <v>1329</v>
      </c>
      <c r="C80" s="167" t="s">
        <v>1328</v>
      </c>
    </row>
    <row r="81" spans="1:3">
      <c r="B81" s="167" t="s">
        <v>1327</v>
      </c>
      <c r="C81" s="167" t="s">
        <v>1326</v>
      </c>
    </row>
    <row r="82" spans="1:3">
      <c r="A82" s="186"/>
    </row>
    <row r="83" spans="1:3">
      <c r="B83" s="167" t="s">
        <v>1325</v>
      </c>
      <c r="C83" s="167" t="s">
        <v>1324</v>
      </c>
    </row>
    <row r="84" spans="1:3">
      <c r="A84" s="186"/>
    </row>
    <row r="85" spans="1:3">
      <c r="B85" s="185" t="s">
        <v>571</v>
      </c>
    </row>
    <row r="86" spans="1:3">
      <c r="A86" s="184"/>
    </row>
    <row r="87" spans="1:3">
      <c r="B87" s="167" t="s">
        <v>1323</v>
      </c>
      <c r="C87" s="167" t="s">
        <v>1322</v>
      </c>
    </row>
    <row r="88" spans="1:3">
      <c r="B88" s="167" t="s">
        <v>1321</v>
      </c>
      <c r="C88" s="167" t="s">
        <v>1320</v>
      </c>
    </row>
    <row r="89" spans="1:3">
      <c r="A89" s="184"/>
    </row>
    <row r="90" spans="1:3">
      <c r="B90" s="167" t="s">
        <v>1311</v>
      </c>
      <c r="C90" s="167" t="s">
        <v>1319</v>
      </c>
    </row>
    <row r="91" spans="1:3">
      <c r="B91" s="167" t="s">
        <v>1318</v>
      </c>
      <c r="C91" s="167" t="s">
        <v>1317</v>
      </c>
    </row>
    <row r="92" spans="1:3">
      <c r="B92" s="167" t="s">
        <v>1316</v>
      </c>
      <c r="C92" s="167">
        <v>4.5</v>
      </c>
    </row>
    <row r="93" spans="1:3">
      <c r="A93" s="184"/>
    </row>
    <row r="94" spans="1:3">
      <c r="B94" s="167" t="s">
        <v>1315</v>
      </c>
      <c r="C94" s="167" t="s">
        <v>1304</v>
      </c>
    </row>
    <row r="95" spans="1:3">
      <c r="B95" s="167" t="s">
        <v>1314</v>
      </c>
      <c r="C95" s="167" t="s">
        <v>1313</v>
      </c>
    </row>
    <row r="96" spans="1:3">
      <c r="A96" s="186"/>
    </row>
    <row r="97" spans="1:3">
      <c r="B97" s="185" t="s">
        <v>578</v>
      </c>
    </row>
    <row r="98" spans="1:3">
      <c r="A98" s="184"/>
    </row>
    <row r="99" spans="1:3">
      <c r="A99" s="184"/>
    </row>
    <row r="100" spans="1:3">
      <c r="B100" s="167" t="s">
        <v>1311</v>
      </c>
      <c r="C100" s="167" t="s">
        <v>1312</v>
      </c>
    </row>
    <row r="101" spans="1:3">
      <c r="B101" s="167" t="s">
        <v>1309</v>
      </c>
      <c r="C101" s="167" t="s">
        <v>1308</v>
      </c>
    </row>
    <row r="102" spans="1:3">
      <c r="B102" s="167" t="s">
        <v>1307</v>
      </c>
      <c r="C102" s="173">
        <v>0.9</v>
      </c>
    </row>
    <row r="103" spans="1:3">
      <c r="A103" s="184"/>
    </row>
    <row r="104" spans="1:3">
      <c r="B104" s="167" t="s">
        <v>1311</v>
      </c>
      <c r="C104" s="167" t="s">
        <v>1310</v>
      </c>
    </row>
    <row r="105" spans="1:3">
      <c r="B105" s="167" t="s">
        <v>1309</v>
      </c>
      <c r="C105" s="167" t="s">
        <v>1308</v>
      </c>
    </row>
    <row r="106" spans="1:3">
      <c r="B106" s="167" t="s">
        <v>1307</v>
      </c>
      <c r="C106" s="173">
        <v>0.95</v>
      </c>
    </row>
    <row r="107" spans="1:3">
      <c r="A107" s="184"/>
    </row>
    <row r="108" spans="1:3">
      <c r="B108" s="167" t="s">
        <v>1306</v>
      </c>
      <c r="C108" s="167" t="s">
        <v>1304</v>
      </c>
    </row>
    <row r="109" spans="1:3">
      <c r="B109" s="167" t="s">
        <v>1305</v>
      </c>
      <c r="C109" s="167" t="s">
        <v>1304</v>
      </c>
    </row>
    <row r="110" spans="1:3">
      <c r="B110" s="167" t="s">
        <v>1303</v>
      </c>
      <c r="C110" s="173">
        <v>0.9</v>
      </c>
    </row>
    <row r="111" spans="1:3">
      <c r="A111" s="167"/>
    </row>
    <row r="112" spans="1:3">
      <c r="A112" s="167"/>
    </row>
    <row r="113" spans="1:6">
      <c r="B113" s="169" t="s">
        <v>1302</v>
      </c>
    </row>
    <row r="114" spans="1:6">
      <c r="A114" s="179"/>
    </row>
    <row r="115" spans="1:6">
      <c r="B115" s="167" t="s">
        <v>1301</v>
      </c>
      <c r="C115" s="167" t="s">
        <v>1300</v>
      </c>
    </row>
    <row r="116" spans="1:6">
      <c r="B116" s="167" t="s">
        <v>1299</v>
      </c>
      <c r="C116" s="173">
        <v>0.75</v>
      </c>
    </row>
    <row r="117" spans="1:6">
      <c r="B117" s="167" t="s">
        <v>1298</v>
      </c>
      <c r="C117" s="167" t="s">
        <v>1297</v>
      </c>
    </row>
    <row r="118" spans="1:6">
      <c r="B118" s="167" t="s">
        <v>1296</v>
      </c>
      <c r="C118" s="167" t="s">
        <v>1294</v>
      </c>
    </row>
    <row r="119" spans="1:6">
      <c r="B119" s="167" t="s">
        <v>1295</v>
      </c>
      <c r="C119" s="167" t="s">
        <v>1294</v>
      </c>
    </row>
    <row r="120" spans="1:6">
      <c r="B120" s="183" t="s">
        <v>1241</v>
      </c>
      <c r="C120" s="183" t="s">
        <v>1240</v>
      </c>
    </row>
    <row r="121" spans="1:6">
      <c r="A121" s="174"/>
    </row>
    <row r="122" spans="1:6">
      <c r="A122" s="174"/>
    </row>
    <row r="123" spans="1:6">
      <c r="B123" s="169" t="s">
        <v>1293</v>
      </c>
    </row>
    <row r="124" spans="1:6">
      <c r="A124" s="179"/>
    </row>
    <row r="125" spans="1:6">
      <c r="B125" s="164" t="s">
        <v>1257</v>
      </c>
      <c r="C125" s="164" t="s">
        <v>1256</v>
      </c>
      <c r="D125" s="164" t="s">
        <v>1292</v>
      </c>
      <c r="E125" s="164" t="s">
        <v>1291</v>
      </c>
      <c r="F125" s="164" t="s">
        <v>587</v>
      </c>
    </row>
    <row r="126" spans="1:6">
      <c r="B126" s="167" t="s">
        <v>1290</v>
      </c>
      <c r="C126" s="167">
        <v>142.38</v>
      </c>
      <c r="D126" s="167">
        <v>0.16</v>
      </c>
      <c r="E126" s="167">
        <v>1</v>
      </c>
      <c r="F126" s="167">
        <v>0.22</v>
      </c>
    </row>
    <row r="127" spans="1:6">
      <c r="B127" s="167" t="s">
        <v>1289</v>
      </c>
      <c r="C127" s="167">
        <v>128.25</v>
      </c>
      <c r="D127" s="167">
        <v>9.9000000000000005E-2</v>
      </c>
      <c r="E127" s="167">
        <v>1</v>
      </c>
      <c r="F127" s="167">
        <v>0.15</v>
      </c>
    </row>
    <row r="128" spans="1:6">
      <c r="B128" s="167">
        <v>1</v>
      </c>
      <c r="C128" s="167">
        <v>0.7</v>
      </c>
      <c r="D128" s="167">
        <v>0.8</v>
      </c>
      <c r="E128" s="167">
        <v>1</v>
      </c>
      <c r="F128" s="167">
        <v>0.24</v>
      </c>
    </row>
    <row r="129" spans="1:6">
      <c r="B129" s="167">
        <v>2</v>
      </c>
      <c r="C129" s="167">
        <v>4.5999999999999996</v>
      </c>
      <c r="D129" s="167">
        <v>0.8</v>
      </c>
      <c r="E129" s="167">
        <v>1</v>
      </c>
      <c r="F129" s="167">
        <v>0.24</v>
      </c>
    </row>
    <row r="130" spans="1:6">
      <c r="B130" s="167">
        <v>3</v>
      </c>
      <c r="C130" s="167">
        <v>2.25</v>
      </c>
      <c r="D130" s="167">
        <v>0.8</v>
      </c>
      <c r="E130" s="167">
        <v>1</v>
      </c>
      <c r="F130" s="167">
        <v>0.24</v>
      </c>
    </row>
    <row r="131" spans="1:6">
      <c r="B131" s="167">
        <v>4</v>
      </c>
      <c r="C131" s="167">
        <v>1.26</v>
      </c>
      <c r="D131" s="167">
        <v>0.8</v>
      </c>
      <c r="E131" s="167">
        <v>1</v>
      </c>
      <c r="F131" s="167">
        <v>0.24</v>
      </c>
    </row>
    <row r="132" spans="1:6">
      <c r="B132" s="167">
        <v>5</v>
      </c>
      <c r="C132" s="167">
        <v>1.26</v>
      </c>
      <c r="D132" s="167">
        <v>0.8</v>
      </c>
      <c r="E132" s="167">
        <v>1</v>
      </c>
      <c r="F132" s="167">
        <v>0.24</v>
      </c>
    </row>
    <row r="133" spans="1:6">
      <c r="B133" s="167">
        <v>6</v>
      </c>
      <c r="C133" s="167">
        <v>3.9</v>
      </c>
      <c r="D133" s="167">
        <v>0.8</v>
      </c>
      <c r="E133" s="167">
        <v>1</v>
      </c>
      <c r="F133" s="167">
        <v>0.24</v>
      </c>
    </row>
    <row r="134" spans="1:6">
      <c r="B134" s="167">
        <v>7</v>
      </c>
      <c r="C134" s="167">
        <v>0.72</v>
      </c>
      <c r="D134" s="167">
        <v>0.8</v>
      </c>
      <c r="E134" s="167">
        <v>1</v>
      </c>
      <c r="F134" s="167">
        <v>0.24</v>
      </c>
    </row>
    <row r="135" spans="1:6">
      <c r="B135" s="167">
        <v>8</v>
      </c>
      <c r="C135" s="167">
        <v>0.8</v>
      </c>
      <c r="D135" s="167">
        <v>0.8</v>
      </c>
      <c r="E135" s="167">
        <v>1</v>
      </c>
      <c r="F135" s="167">
        <v>0.24</v>
      </c>
    </row>
    <row r="136" spans="1:6">
      <c r="B136" s="167">
        <v>9</v>
      </c>
      <c r="C136" s="167">
        <v>0.6</v>
      </c>
      <c r="D136" s="167">
        <v>0.8</v>
      </c>
      <c r="E136" s="167">
        <v>1</v>
      </c>
      <c r="F136" s="167">
        <v>0.24</v>
      </c>
    </row>
    <row r="137" spans="1:6">
      <c r="B137" s="167">
        <v>10</v>
      </c>
      <c r="C137" s="167">
        <v>2.5299999999999998</v>
      </c>
      <c r="D137" s="167">
        <v>0.8</v>
      </c>
      <c r="E137" s="167">
        <v>1</v>
      </c>
      <c r="F137" s="167">
        <v>0.24</v>
      </c>
    </row>
    <row r="138" spans="1:6">
      <c r="A138" s="167"/>
    </row>
    <row r="139" spans="1:6">
      <c r="B139" s="167" t="s">
        <v>1288</v>
      </c>
    </row>
    <row r="140" spans="1:6">
      <c r="B140" s="167" t="s">
        <v>1287</v>
      </c>
      <c r="C140" s="167" t="s">
        <v>1286</v>
      </c>
    </row>
    <row r="141" spans="1:6">
      <c r="A141" s="167"/>
    </row>
    <row r="142" spans="1:6">
      <c r="B142" s="183" t="s">
        <v>1239</v>
      </c>
      <c r="C142" s="183" t="s">
        <v>1285</v>
      </c>
    </row>
    <row r="143" spans="1:6">
      <c r="A143" s="174"/>
    </row>
    <row r="144" spans="1:6">
      <c r="A144" s="174"/>
    </row>
    <row r="145" spans="2:6">
      <c r="B145" s="169" t="s">
        <v>1284</v>
      </c>
    </row>
    <row r="146" spans="2:6">
      <c r="F146" s="174" t="s">
        <v>1283</v>
      </c>
    </row>
    <row r="147" spans="2:6">
      <c r="B147" s="167" t="s">
        <v>1282</v>
      </c>
      <c r="C147" s="167" t="s">
        <v>1281</v>
      </c>
    </row>
    <row r="148" spans="2:6">
      <c r="B148" s="167" t="s">
        <v>1280</v>
      </c>
      <c r="C148" s="167" t="s">
        <v>637</v>
      </c>
    </row>
    <row r="149" spans="2:6">
      <c r="B149" s="167" t="s">
        <v>1279</v>
      </c>
      <c r="C149" s="167" t="s">
        <v>1278</v>
      </c>
    </row>
    <row r="150" spans="2:6">
      <c r="B150" s="167" t="s">
        <v>1277</v>
      </c>
      <c r="C150" s="167" t="s">
        <v>1276</v>
      </c>
    </row>
    <row r="151" spans="2:6">
      <c r="B151" s="167" t="s">
        <v>1275</v>
      </c>
      <c r="C151" s="167">
        <v>1</v>
      </c>
    </row>
    <row r="152" spans="2:6">
      <c r="B152" s="167" t="s">
        <v>1274</v>
      </c>
      <c r="C152" s="167" t="s">
        <v>1273</v>
      </c>
    </row>
    <row r="153" spans="2:6">
      <c r="B153" s="167" t="s">
        <v>1272</v>
      </c>
      <c r="C153" s="167" t="s">
        <v>1271</v>
      </c>
    </row>
    <row r="154" spans="2:6">
      <c r="B154" s="167" t="s">
        <v>1270</v>
      </c>
      <c r="C154" s="167" t="s">
        <v>1269</v>
      </c>
    </row>
    <row r="155" spans="2:6">
      <c r="B155" s="167" t="s">
        <v>1268</v>
      </c>
      <c r="C155" s="167" t="s">
        <v>1267</v>
      </c>
    </row>
    <row r="156" spans="2:6">
      <c r="B156" s="167" t="s">
        <v>1266</v>
      </c>
      <c r="C156" s="167" t="s">
        <v>1265</v>
      </c>
    </row>
    <row r="157" spans="2:6">
      <c r="B157" s="167" t="s">
        <v>1237</v>
      </c>
      <c r="C157" s="167" t="s">
        <v>1236</v>
      </c>
    </row>
    <row r="158" spans="2:6">
      <c r="B158" s="170" t="s">
        <v>1264</v>
      </c>
      <c r="C158" s="170" t="s">
        <v>1259</v>
      </c>
    </row>
    <row r="159" spans="2:6">
      <c r="B159" s="170" t="s">
        <v>1263</v>
      </c>
      <c r="C159" s="170" t="s">
        <v>1262</v>
      </c>
    </row>
    <row r="160" spans="2:6">
      <c r="B160" s="183" t="s">
        <v>1261</v>
      </c>
      <c r="C160" s="183" t="s">
        <v>1236</v>
      </c>
    </row>
    <row r="161" spans="1:8">
      <c r="B161" s="170" t="s">
        <v>1260</v>
      </c>
      <c r="C161" s="170" t="s">
        <v>1259</v>
      </c>
    </row>
    <row r="162" spans="1:8">
      <c r="A162" s="174"/>
    </row>
    <row r="163" spans="1:8">
      <c r="A163" s="174"/>
    </row>
    <row r="164" spans="1:8">
      <c r="B164" s="169" t="s">
        <v>1258</v>
      </c>
    </row>
    <row r="165" spans="1:8">
      <c r="A165" s="179"/>
    </row>
    <row r="166" spans="1:8">
      <c r="B166" s="164" t="s">
        <v>1257</v>
      </c>
      <c r="C166" s="164" t="s">
        <v>1256</v>
      </c>
      <c r="D166" s="164" t="s">
        <v>1255</v>
      </c>
      <c r="E166" s="164" t="s">
        <v>1254</v>
      </c>
      <c r="F166" s="164" t="s">
        <v>1253</v>
      </c>
      <c r="G166" s="164" t="s">
        <v>1252</v>
      </c>
      <c r="H166" s="164" t="s">
        <v>668</v>
      </c>
    </row>
    <row r="167" spans="1:8">
      <c r="B167" s="167">
        <v>1</v>
      </c>
      <c r="C167" s="167">
        <v>0.7</v>
      </c>
      <c r="D167" s="167">
        <v>0.75</v>
      </c>
      <c r="E167" s="167">
        <v>0.75</v>
      </c>
      <c r="F167" s="167">
        <v>1</v>
      </c>
      <c r="G167" s="167">
        <v>1</v>
      </c>
      <c r="H167" s="167" t="s">
        <v>549</v>
      </c>
    </row>
    <row r="168" spans="1:8">
      <c r="B168" s="167">
        <v>2</v>
      </c>
      <c r="C168" s="167">
        <v>4.5999999999999996</v>
      </c>
      <c r="D168" s="167">
        <v>0.75</v>
      </c>
      <c r="E168" s="167">
        <v>0.75</v>
      </c>
      <c r="F168" s="167">
        <v>1</v>
      </c>
      <c r="G168" s="167">
        <v>1</v>
      </c>
      <c r="H168" s="167" t="s">
        <v>549</v>
      </c>
    </row>
    <row r="169" spans="1:8">
      <c r="B169" s="167">
        <v>3</v>
      </c>
      <c r="C169" s="167">
        <v>2.25</v>
      </c>
      <c r="D169" s="167">
        <v>0.75</v>
      </c>
      <c r="E169" s="167">
        <v>0.75</v>
      </c>
      <c r="F169" s="167">
        <v>1</v>
      </c>
      <c r="G169" s="167">
        <v>1</v>
      </c>
      <c r="H169" s="167" t="s">
        <v>549</v>
      </c>
    </row>
    <row r="170" spans="1:8">
      <c r="B170" s="167">
        <v>4</v>
      </c>
      <c r="C170" s="167">
        <v>1.26</v>
      </c>
      <c r="D170" s="167">
        <v>0.75</v>
      </c>
      <c r="E170" s="167">
        <v>0.75</v>
      </c>
      <c r="F170" s="167">
        <v>1</v>
      </c>
      <c r="G170" s="167">
        <v>1</v>
      </c>
      <c r="H170" s="167" t="s">
        <v>547</v>
      </c>
    </row>
    <row r="171" spans="1:8">
      <c r="B171" s="167">
        <v>5</v>
      </c>
      <c r="C171" s="167">
        <v>1.26</v>
      </c>
      <c r="D171" s="167">
        <v>0.75</v>
      </c>
      <c r="E171" s="167">
        <v>0.75</v>
      </c>
      <c r="F171" s="167">
        <v>1</v>
      </c>
      <c r="G171" s="167">
        <v>1</v>
      </c>
      <c r="H171" s="167" t="s">
        <v>547</v>
      </c>
    </row>
    <row r="172" spans="1:8">
      <c r="B172" s="167">
        <v>6</v>
      </c>
      <c r="C172" s="167">
        <v>3.9</v>
      </c>
      <c r="D172" s="167">
        <v>0.75</v>
      </c>
      <c r="E172" s="167">
        <v>0.75</v>
      </c>
      <c r="F172" s="167">
        <v>1</v>
      </c>
      <c r="G172" s="167">
        <v>1</v>
      </c>
      <c r="H172" s="167" t="s">
        <v>545</v>
      </c>
    </row>
    <row r="173" spans="1:8">
      <c r="B173" s="167">
        <v>7</v>
      </c>
      <c r="C173" s="167">
        <v>0.72</v>
      </c>
      <c r="D173" s="167">
        <v>0.75</v>
      </c>
      <c r="E173" s="167">
        <v>0.75</v>
      </c>
      <c r="F173" s="167">
        <v>1</v>
      </c>
      <c r="G173" s="167">
        <v>1</v>
      </c>
      <c r="H173" s="167" t="s">
        <v>545</v>
      </c>
    </row>
    <row r="174" spans="1:8">
      <c r="B174" s="167">
        <v>8</v>
      </c>
      <c r="C174" s="167">
        <v>0.8</v>
      </c>
      <c r="D174" s="167">
        <v>0.75</v>
      </c>
      <c r="E174" s="167">
        <v>0.75</v>
      </c>
      <c r="F174" s="167">
        <v>1</v>
      </c>
      <c r="G174" s="167">
        <v>1</v>
      </c>
      <c r="H174" s="167" t="s">
        <v>546</v>
      </c>
    </row>
    <row r="175" spans="1:8">
      <c r="B175" s="167">
        <v>9</v>
      </c>
      <c r="C175" s="167">
        <v>0.6</v>
      </c>
      <c r="D175" s="167">
        <v>0.75</v>
      </c>
      <c r="E175" s="167">
        <v>0.75</v>
      </c>
      <c r="F175" s="167">
        <v>1</v>
      </c>
      <c r="G175" s="167">
        <v>1</v>
      </c>
      <c r="H175" s="167" t="s">
        <v>546</v>
      </c>
    </row>
    <row r="176" spans="1:8">
      <c r="B176" s="167">
        <v>10</v>
      </c>
      <c r="C176" s="167">
        <v>2.5299999999999998</v>
      </c>
      <c r="D176" s="167">
        <v>0.75</v>
      </c>
      <c r="E176" s="167">
        <v>0.75</v>
      </c>
      <c r="F176" s="167">
        <v>1</v>
      </c>
      <c r="G176" s="167">
        <v>1</v>
      </c>
      <c r="H176" s="167" t="s">
        <v>546</v>
      </c>
    </row>
    <row r="177" spans="1:8">
      <c r="B177" s="183" t="s">
        <v>1251</v>
      </c>
    </row>
    <row r="178" spans="1:8">
      <c r="A178" s="182"/>
    </row>
    <row r="179" spans="1:8">
      <c r="B179" s="164" t="s">
        <v>1250</v>
      </c>
      <c r="C179" s="164">
        <v>1</v>
      </c>
      <c r="D179" s="164">
        <v>2</v>
      </c>
      <c r="E179" s="164">
        <v>3</v>
      </c>
      <c r="F179" s="164">
        <v>4</v>
      </c>
      <c r="G179" s="164">
        <v>5</v>
      </c>
      <c r="H179" s="164">
        <v>6</v>
      </c>
    </row>
    <row r="180" spans="1:8">
      <c r="A180" s="181"/>
    </row>
    <row r="181" spans="1:8">
      <c r="B181" s="174" t="s">
        <v>1249</v>
      </c>
      <c r="C181" s="174">
        <v>1039.3</v>
      </c>
      <c r="D181" s="174">
        <v>1602.2</v>
      </c>
      <c r="E181" s="174">
        <v>2059.6</v>
      </c>
      <c r="F181" s="174">
        <v>2529.1999999999998</v>
      </c>
      <c r="G181" s="174">
        <v>2656.8</v>
      </c>
      <c r="H181" s="174">
        <v>2690</v>
      </c>
    </row>
    <row r="182" spans="1:8">
      <c r="A182" s="182"/>
    </row>
    <row r="183" spans="1:8">
      <c r="B183" s="164" t="s">
        <v>1250</v>
      </c>
      <c r="C183" s="164">
        <v>7</v>
      </c>
      <c r="D183" s="164">
        <v>8</v>
      </c>
      <c r="E183" s="164">
        <v>9</v>
      </c>
      <c r="F183" s="164">
        <v>10</v>
      </c>
      <c r="G183" s="164">
        <v>11</v>
      </c>
      <c r="H183" s="164">
        <v>12</v>
      </c>
    </row>
    <row r="184" spans="1:8">
      <c r="A184" s="181"/>
    </row>
    <row r="185" spans="1:8">
      <c r="B185" s="174" t="s">
        <v>1249</v>
      </c>
      <c r="C185" s="174">
        <v>2615.1999999999998</v>
      </c>
      <c r="D185" s="174">
        <v>2235.3000000000002</v>
      </c>
      <c r="E185" s="174">
        <v>1980.9</v>
      </c>
      <c r="F185" s="174">
        <v>1409.7</v>
      </c>
      <c r="G185" s="174">
        <v>897.1</v>
      </c>
      <c r="H185" s="174">
        <v>795.9</v>
      </c>
    </row>
    <row r="186" spans="1:8">
      <c r="A186" s="174"/>
    </row>
    <row r="187" spans="1:8">
      <c r="A187" s="174"/>
    </row>
    <row r="188" spans="1:8">
      <c r="A188" s="174"/>
    </row>
    <row r="189" spans="1:8">
      <c r="A189" s="174"/>
    </row>
    <row r="190" spans="1:8">
      <c r="B190" s="177" t="s">
        <v>1248</v>
      </c>
    </row>
    <row r="191" spans="1:8">
      <c r="A191" s="177"/>
    </row>
    <row r="192" spans="1:8">
      <c r="B192" s="166" t="s">
        <v>754</v>
      </c>
    </row>
    <row r="193" spans="1:20">
      <c r="A193" s="180"/>
    </row>
    <row r="194" spans="1:20">
      <c r="B194" s="167"/>
      <c r="C194" s="167"/>
    </row>
    <row r="195" spans="1:20">
      <c r="B195" s="167" t="s">
        <v>1247</v>
      </c>
      <c r="C195" s="167" t="s">
        <v>1246</v>
      </c>
    </row>
    <row r="196" spans="1:20">
      <c r="B196" s="167" t="s">
        <v>1245</v>
      </c>
      <c r="C196" s="167" t="s">
        <v>1244</v>
      </c>
    </row>
    <row r="197" spans="1:20">
      <c r="B197" s="167" t="s">
        <v>1243</v>
      </c>
      <c r="C197" s="167" t="s">
        <v>1242</v>
      </c>
    </row>
    <row r="198" spans="1:20">
      <c r="A198" s="167"/>
    </row>
    <row r="199" spans="1:20">
      <c r="B199" s="167" t="s">
        <v>1241</v>
      </c>
      <c r="C199" s="167" t="s">
        <v>1240</v>
      </c>
    </row>
    <row r="200" spans="1:20">
      <c r="B200" s="167" t="s">
        <v>1239</v>
      </c>
      <c r="C200" s="167" t="s">
        <v>1238</v>
      </c>
    </row>
    <row r="201" spans="1:20">
      <c r="B201" s="167" t="s">
        <v>1237</v>
      </c>
      <c r="C201" s="167" t="s">
        <v>1236</v>
      </c>
    </row>
    <row r="202" spans="1:20">
      <c r="B202" s="167" t="s">
        <v>1235</v>
      </c>
      <c r="C202" s="167" t="s">
        <v>774</v>
      </c>
    </row>
    <row r="203" spans="1:20">
      <c r="B203" s="167" t="s">
        <v>1234</v>
      </c>
      <c r="C203" s="167" t="s">
        <v>774</v>
      </c>
    </row>
    <row r="204" spans="1:20">
      <c r="B204" s="167" t="s">
        <v>1233</v>
      </c>
      <c r="C204" s="167" t="s">
        <v>774</v>
      </c>
    </row>
    <row r="205" spans="1:20">
      <c r="B205" s="167" t="s">
        <v>1232</v>
      </c>
      <c r="C205" s="167" t="s">
        <v>774</v>
      </c>
      <c r="G205" s="141" t="s">
        <v>1527</v>
      </c>
    </row>
    <row r="206" spans="1:20">
      <c r="B206" s="167" t="s">
        <v>1231</v>
      </c>
      <c r="C206" s="167" t="s">
        <v>774</v>
      </c>
      <c r="F206" s="146" t="s">
        <v>421</v>
      </c>
    </row>
    <row r="207" spans="1:20">
      <c r="B207" s="179" t="s">
        <v>1230</v>
      </c>
      <c r="C207" s="179" t="s">
        <v>1182</v>
      </c>
      <c r="F207" s="146" t="s">
        <v>1229</v>
      </c>
    </row>
    <row r="208" spans="1:20">
      <c r="A208" s="146"/>
      <c r="H208" s="143" t="s">
        <v>1228</v>
      </c>
      <c r="I208" s="143">
        <f>S208/30</f>
        <v>128.33333333333334</v>
      </c>
      <c r="J208" s="143" t="s">
        <v>316</v>
      </c>
      <c r="K208" s="143"/>
      <c r="S208" s="144">
        <v>3850</v>
      </c>
      <c r="T208" s="141" t="s">
        <v>1227</v>
      </c>
    </row>
    <row r="209" spans="1:26">
      <c r="B209" s="178" t="s">
        <v>1226</v>
      </c>
      <c r="H209" s="143"/>
      <c r="I209" s="143">
        <f>I208*36</f>
        <v>4620</v>
      </c>
      <c r="J209" s="143" t="s">
        <v>1225</v>
      </c>
      <c r="K209" s="143"/>
      <c r="S209" s="144">
        <v>13</v>
      </c>
      <c r="T209" s="141" t="s">
        <v>223</v>
      </c>
    </row>
    <row r="210" spans="1:26">
      <c r="A210" s="172"/>
      <c r="L210" s="141" t="s">
        <v>1224</v>
      </c>
    </row>
    <row r="211" spans="1:26">
      <c r="A211" s="164" t="s">
        <v>1151</v>
      </c>
      <c r="B211" s="164" t="s">
        <v>312</v>
      </c>
      <c r="C211" s="141" t="s">
        <v>230</v>
      </c>
      <c r="D211" s="164" t="s">
        <v>1215</v>
      </c>
      <c r="E211" s="164" t="s">
        <v>1222</v>
      </c>
      <c r="F211" s="164" t="s">
        <v>1221</v>
      </c>
      <c r="G211" s="164" t="s">
        <v>1220</v>
      </c>
      <c r="H211" s="164" t="s">
        <v>1219</v>
      </c>
      <c r="I211" s="164" t="s">
        <v>1218</v>
      </c>
      <c r="J211" s="164" t="s">
        <v>773</v>
      </c>
      <c r="L211" s="164" t="s">
        <v>1223</v>
      </c>
      <c r="M211" s="164" t="s">
        <v>1222</v>
      </c>
      <c r="N211" s="164" t="s">
        <v>1221</v>
      </c>
      <c r="O211" s="164" t="s">
        <v>1220</v>
      </c>
      <c r="P211" s="164" t="s">
        <v>1219</v>
      </c>
      <c r="Q211" s="164" t="s">
        <v>1218</v>
      </c>
      <c r="R211" s="164" t="s">
        <v>1217</v>
      </c>
      <c r="S211" s="164" t="s">
        <v>466</v>
      </c>
      <c r="T211" s="164" t="s">
        <v>1223</v>
      </c>
      <c r="U211" s="164" t="s">
        <v>1433</v>
      </c>
      <c r="X211" s="164" t="s">
        <v>773</v>
      </c>
      <c r="Z211" s="141" t="s">
        <v>1216</v>
      </c>
    </row>
    <row r="212" spans="1:26">
      <c r="A212" s="167">
        <v>1</v>
      </c>
      <c r="B212" s="167">
        <v>-4.2</v>
      </c>
      <c r="C212" s="167">
        <v>31</v>
      </c>
      <c r="D212" s="167">
        <v>8.65</v>
      </c>
      <c r="E212" s="167">
        <v>1.3620000000000001</v>
      </c>
      <c r="F212" s="167">
        <v>1.0389999999999999</v>
      </c>
      <c r="G212" s="167">
        <v>2.4009999999999998</v>
      </c>
      <c r="H212" s="167">
        <v>0.995</v>
      </c>
      <c r="I212" s="167">
        <v>100</v>
      </c>
      <c r="J212" s="167">
        <v>6.26</v>
      </c>
      <c r="L212" s="141">
        <f t="shared" ref="L212:R216" si="12">1000000*D212/3.6/$C212/24</f>
        <v>3229.5400238948623</v>
      </c>
      <c r="M212" s="141">
        <f t="shared" si="12"/>
        <v>508.51254480286735</v>
      </c>
      <c r="N212" s="141">
        <f t="shared" si="12"/>
        <v>387.91816009557942</v>
      </c>
      <c r="O212" s="141">
        <f t="shared" si="12"/>
        <v>896.43070489844683</v>
      </c>
      <c r="P212" s="141">
        <f t="shared" si="12"/>
        <v>371.49044205495812</v>
      </c>
      <c r="Q212" s="141">
        <f t="shared" si="12"/>
        <v>37335.722819593786</v>
      </c>
      <c r="R212" s="141">
        <f t="shared" si="12"/>
        <v>2337.216248506571</v>
      </c>
      <c r="S212" s="141">
        <f>(S$209-B212)*S$208/30</f>
        <v>2207.3333333333335</v>
      </c>
      <c r="T212" s="141">
        <f>L212</f>
        <v>3229.5400238948623</v>
      </c>
      <c r="U212" s="141">
        <f>O212*H212</f>
        <v>891.94855137395461</v>
      </c>
      <c r="V212" s="141">
        <f>T212-R212-U212</f>
        <v>0.37522401433670893</v>
      </c>
      <c r="X212" s="141">
        <f>SUM(J212:J223)</f>
        <v>27.345999999999997</v>
      </c>
      <c r="Y212" s="141" t="s">
        <v>860</v>
      </c>
    </row>
    <row r="213" spans="1:26">
      <c r="A213" s="167">
        <v>2</v>
      </c>
      <c r="B213" s="167">
        <v>-1.8</v>
      </c>
      <c r="C213" s="167">
        <v>28</v>
      </c>
      <c r="D213" s="167">
        <v>7.0720000000000001</v>
      </c>
      <c r="E213" s="167">
        <v>1.21</v>
      </c>
      <c r="F213" s="167">
        <v>1.6020000000000001</v>
      </c>
      <c r="G213" s="167">
        <v>2.8119999999999998</v>
      </c>
      <c r="H213" s="167">
        <v>0.98399999999999999</v>
      </c>
      <c r="I213" s="167">
        <v>100</v>
      </c>
      <c r="J213" s="167">
        <v>4.306</v>
      </c>
      <c r="L213" s="141">
        <f t="shared" si="12"/>
        <v>2923.2804232804233</v>
      </c>
      <c r="M213" s="141">
        <f t="shared" si="12"/>
        <v>500.16534391534395</v>
      </c>
      <c r="N213" s="141">
        <f t="shared" si="12"/>
        <v>662.20238095238096</v>
      </c>
      <c r="O213" s="141">
        <f t="shared" si="12"/>
        <v>1162.3677248677247</v>
      </c>
      <c r="P213" s="141">
        <f t="shared" si="12"/>
        <v>406.74603174603175</v>
      </c>
      <c r="Q213" s="141">
        <f t="shared" si="12"/>
        <v>41335.978835978829</v>
      </c>
      <c r="R213" s="141">
        <f t="shared" si="12"/>
        <v>1779.9272486772486</v>
      </c>
      <c r="S213" s="141">
        <f>(S$209-B213)*S$208/30</f>
        <v>1899.3333333333333</v>
      </c>
      <c r="T213" s="141">
        <f t="shared" ref="T213:T224" si="13">L213</f>
        <v>2923.2804232804233</v>
      </c>
      <c r="U213" s="141">
        <f t="shared" ref="U213:U223" si="14">O213*H213</f>
        <v>1143.7698412698412</v>
      </c>
      <c r="V213" s="141">
        <f t="shared" ref="V213:V225" si="15">T213-R213-U213</f>
        <v>-0.41666666666651508</v>
      </c>
      <c r="X213" s="141">
        <f>X212/3.6</f>
        <v>7.5961111111111101</v>
      </c>
      <c r="Y213" s="141" t="s">
        <v>862</v>
      </c>
      <c r="Z213" s="141">
        <f>1000000*X213/I209/24</f>
        <v>68.507495590828924</v>
      </c>
    </row>
    <row r="214" spans="1:26">
      <c r="A214" s="167">
        <v>3</v>
      </c>
      <c r="B214" s="167">
        <v>2.5</v>
      </c>
      <c r="C214" s="167">
        <v>31</v>
      </c>
      <c r="D214" s="167">
        <v>6.3609999999999998</v>
      </c>
      <c r="E214" s="167">
        <v>1.3220000000000001</v>
      </c>
      <c r="F214" s="167">
        <v>2.06</v>
      </c>
      <c r="G214" s="167">
        <v>3.3820000000000001</v>
      </c>
      <c r="H214" s="167">
        <v>0.95799999999999996</v>
      </c>
      <c r="I214" s="167">
        <v>100</v>
      </c>
      <c r="J214" s="167">
        <v>3.121</v>
      </c>
      <c r="L214" s="141">
        <f t="shared" si="12"/>
        <v>2374.9253285543609</v>
      </c>
      <c r="M214" s="141">
        <f t="shared" si="12"/>
        <v>493.57825567502982</v>
      </c>
      <c r="N214" s="141">
        <f t="shared" si="12"/>
        <v>769.11589008363205</v>
      </c>
      <c r="O214" s="141">
        <f t="shared" si="12"/>
        <v>1262.6941457586618</v>
      </c>
      <c r="P214" s="141">
        <f t="shared" si="12"/>
        <v>357.67622461170851</v>
      </c>
      <c r="Q214" s="141">
        <f t="shared" si="12"/>
        <v>37335.722819593786</v>
      </c>
      <c r="R214" s="141">
        <f t="shared" si="12"/>
        <v>1165.2479091995222</v>
      </c>
      <c r="S214" s="141">
        <f>(S$209-B214)*S$208/30</f>
        <v>1347.5</v>
      </c>
      <c r="T214" s="141">
        <f t="shared" si="13"/>
        <v>2374.9253285543609</v>
      </c>
      <c r="U214" s="141">
        <f t="shared" si="14"/>
        <v>1209.6609916367979</v>
      </c>
      <c r="V214" s="141">
        <f t="shared" si="15"/>
        <v>1.6427718040858963E-2</v>
      </c>
    </row>
    <row r="215" spans="1:26">
      <c r="A215" s="167">
        <v>4</v>
      </c>
      <c r="B215" s="167">
        <v>7.8</v>
      </c>
      <c r="C215" s="167">
        <v>30</v>
      </c>
      <c r="D215" s="167">
        <v>4.4029999999999996</v>
      </c>
      <c r="E215" s="167">
        <v>1.264</v>
      </c>
      <c r="F215" s="167">
        <v>2.5289999999999999</v>
      </c>
      <c r="G215" s="167">
        <v>3.794</v>
      </c>
      <c r="H215" s="167">
        <v>0.84699999999999998</v>
      </c>
      <c r="I215" s="167">
        <v>100</v>
      </c>
      <c r="J215" s="167">
        <v>1.19</v>
      </c>
      <c r="L215" s="141">
        <f t="shared" si="12"/>
        <v>1698.6882716049383</v>
      </c>
      <c r="M215" s="141">
        <f t="shared" si="12"/>
        <v>487.65432098765433</v>
      </c>
      <c r="N215" s="141">
        <f t="shared" si="12"/>
        <v>975.69444444444446</v>
      </c>
      <c r="O215" s="141">
        <f t="shared" si="12"/>
        <v>1463.7345679012344</v>
      </c>
      <c r="P215" s="141">
        <f t="shared" si="12"/>
        <v>326.77469135802471</v>
      </c>
      <c r="Q215" s="141">
        <f t="shared" si="12"/>
        <v>38580.246913580246</v>
      </c>
      <c r="R215" s="141">
        <f t="shared" si="12"/>
        <v>459.10493827160491</v>
      </c>
      <c r="S215" s="141">
        <f>(S$209-B215)*S$208/30</f>
        <v>667.33333333333337</v>
      </c>
      <c r="T215" s="141">
        <f t="shared" si="13"/>
        <v>1698.6882716049383</v>
      </c>
      <c r="U215" s="141">
        <f t="shared" si="14"/>
        <v>1239.7831790123455</v>
      </c>
      <c r="V215" s="141">
        <f t="shared" si="15"/>
        <v>-0.19984567901201444</v>
      </c>
      <c r="X215" s="164" t="s">
        <v>1215</v>
      </c>
    </row>
    <row r="216" spans="1:26">
      <c r="A216" s="167">
        <v>5</v>
      </c>
      <c r="B216" s="167">
        <v>12.7</v>
      </c>
      <c r="C216" s="167">
        <v>31</v>
      </c>
      <c r="D216" s="167">
        <v>2.8759999999999999</v>
      </c>
      <c r="E216" s="167">
        <v>1.294</v>
      </c>
      <c r="F216" s="167">
        <v>2.657</v>
      </c>
      <c r="G216" s="167">
        <v>3.9510000000000001</v>
      </c>
      <c r="H216" s="167">
        <v>0.64800000000000002</v>
      </c>
      <c r="I216" s="167">
        <v>26.6</v>
      </c>
      <c r="J216" s="167">
        <v>0.316</v>
      </c>
      <c r="L216" s="141">
        <f t="shared" si="12"/>
        <v>1073.7753882915174</v>
      </c>
      <c r="M216" s="141">
        <f t="shared" si="12"/>
        <v>483.1242532855436</v>
      </c>
      <c r="N216" s="141">
        <f t="shared" si="12"/>
        <v>992.01015531660687</v>
      </c>
      <c r="O216" s="141">
        <f t="shared" si="12"/>
        <v>1475.1344086021506</v>
      </c>
      <c r="P216" s="141">
        <f t="shared" si="12"/>
        <v>241.93548387096772</v>
      </c>
      <c r="Q216" s="141">
        <f t="shared" si="12"/>
        <v>9931.3022700119473</v>
      </c>
      <c r="R216" s="141">
        <f t="shared" si="12"/>
        <v>117.98088410991637</v>
      </c>
      <c r="S216" s="141">
        <f>(S$209-B216)*S$208/30</f>
        <v>38.500000000000092</v>
      </c>
      <c r="T216" s="141">
        <f t="shared" si="13"/>
        <v>1073.7753882915174</v>
      </c>
      <c r="U216" s="141">
        <f t="shared" si="14"/>
        <v>955.88709677419365</v>
      </c>
      <c r="V216" s="141">
        <f t="shared" si="15"/>
        <v>-9.2592592592609435E-2</v>
      </c>
      <c r="X216" s="141">
        <f>SUM(D212:D223)</f>
        <v>55.554000000000002</v>
      </c>
      <c r="Y216" s="141" t="s">
        <v>860</v>
      </c>
    </row>
    <row r="217" spans="1:26">
      <c r="A217" s="167">
        <v>6</v>
      </c>
      <c r="B217" s="167">
        <v>15.5</v>
      </c>
      <c r="C217" s="167">
        <v>30</v>
      </c>
      <c r="D217" s="167">
        <v>1.857</v>
      </c>
      <c r="E217" s="167">
        <v>1.2490000000000001</v>
      </c>
      <c r="F217" s="167">
        <v>2.69</v>
      </c>
      <c r="G217" s="167">
        <v>3.9390000000000001</v>
      </c>
      <c r="H217" s="167">
        <v>0.47099999999999997</v>
      </c>
      <c r="I217" s="167">
        <v>0</v>
      </c>
      <c r="J217" s="167" t="s">
        <v>774</v>
      </c>
      <c r="L217" s="141">
        <f t="shared" ref="L217:Q223" si="16">1000000*D217/3.6/$C217/24</f>
        <v>716.43518518518522</v>
      </c>
      <c r="M217" s="141">
        <f t="shared" si="16"/>
        <v>481.86728395061726</v>
      </c>
      <c r="N217" s="141">
        <f t="shared" si="16"/>
        <v>1037.8086419753088</v>
      </c>
      <c r="O217" s="141">
        <f t="shared" si="16"/>
        <v>1519.6759259259261</v>
      </c>
      <c r="P217" s="141">
        <f t="shared" si="16"/>
        <v>181.71296296296296</v>
      </c>
      <c r="Q217" s="141">
        <f t="shared" si="16"/>
        <v>0</v>
      </c>
      <c r="T217" s="141">
        <f t="shared" si="13"/>
        <v>716.43518518518522</v>
      </c>
      <c r="U217" s="141">
        <f t="shared" si="14"/>
        <v>715.7673611111112</v>
      </c>
      <c r="V217" s="141">
        <f t="shared" si="15"/>
        <v>0.66782407407401934</v>
      </c>
      <c r="X217" s="141">
        <f>X216/3.6</f>
        <v>15.431666666666667</v>
      </c>
      <c r="Y217" s="141" t="s">
        <v>862</v>
      </c>
      <c r="Z217" s="141">
        <f>1000000*X217/I209/24</f>
        <v>139.17448292448293</v>
      </c>
    </row>
    <row r="218" spans="1:26">
      <c r="A218" s="167">
        <v>7</v>
      </c>
      <c r="B218" s="167">
        <v>17.100000000000001</v>
      </c>
      <c r="C218" s="167">
        <v>31</v>
      </c>
      <c r="D218" s="167">
        <v>1.3720000000000001</v>
      </c>
      <c r="E218" s="167">
        <v>1.29</v>
      </c>
      <c r="F218" s="167">
        <v>2.6150000000000002</v>
      </c>
      <c r="G218" s="167">
        <v>3.9049999999999998</v>
      </c>
      <c r="H218" s="167">
        <v>0.35099999999999998</v>
      </c>
      <c r="I218" s="167">
        <v>0</v>
      </c>
      <c r="J218" s="167" t="s">
        <v>774</v>
      </c>
      <c r="L218" s="141">
        <f t="shared" si="16"/>
        <v>512.24611708482678</v>
      </c>
      <c r="M218" s="141">
        <f t="shared" si="16"/>
        <v>481.63082437275983</v>
      </c>
      <c r="N218" s="141">
        <f t="shared" si="16"/>
        <v>976.32915173237745</v>
      </c>
      <c r="O218" s="141">
        <f t="shared" si="16"/>
        <v>1457.9599761051375</v>
      </c>
      <c r="P218" s="141">
        <f t="shared" si="16"/>
        <v>131.04838709677418</v>
      </c>
      <c r="Q218" s="141">
        <f t="shared" si="16"/>
        <v>0</v>
      </c>
      <c r="T218" s="141">
        <f t="shared" si="13"/>
        <v>512.24611708482678</v>
      </c>
      <c r="U218" s="141">
        <f t="shared" si="14"/>
        <v>511.74395161290323</v>
      </c>
      <c r="V218" s="141">
        <f t="shared" si="15"/>
        <v>0.5021654719235471</v>
      </c>
    </row>
    <row r="219" spans="1:26">
      <c r="A219" s="167">
        <v>8</v>
      </c>
      <c r="B219" s="167">
        <v>16.5</v>
      </c>
      <c r="C219" s="167">
        <v>31</v>
      </c>
      <c r="D219" s="167">
        <v>1.577</v>
      </c>
      <c r="E219" s="167">
        <v>1.294</v>
      </c>
      <c r="F219" s="167">
        <v>2.2349999999999999</v>
      </c>
      <c r="G219" s="167">
        <v>3.53</v>
      </c>
      <c r="H219" s="167">
        <v>0.44700000000000001</v>
      </c>
      <c r="I219" s="167">
        <v>0</v>
      </c>
      <c r="J219" s="167" t="s">
        <v>774</v>
      </c>
      <c r="L219" s="141">
        <f t="shared" si="16"/>
        <v>588.78434886499406</v>
      </c>
      <c r="M219" s="141">
        <f t="shared" si="16"/>
        <v>483.1242532855436</v>
      </c>
      <c r="N219" s="141">
        <f t="shared" si="16"/>
        <v>834.45340501792123</v>
      </c>
      <c r="O219" s="141">
        <f t="shared" si="16"/>
        <v>1317.9510155316607</v>
      </c>
      <c r="P219" s="141">
        <f t="shared" si="16"/>
        <v>166.89068100358421</v>
      </c>
      <c r="Q219" s="141">
        <f t="shared" si="16"/>
        <v>0</v>
      </c>
      <c r="T219" s="141">
        <f t="shared" si="13"/>
        <v>588.78434886499406</v>
      </c>
      <c r="U219" s="141">
        <f t="shared" si="14"/>
        <v>589.12410394265237</v>
      </c>
      <c r="V219" s="141">
        <f t="shared" si="15"/>
        <v>-0.33975507765831026</v>
      </c>
      <c r="X219" s="141">
        <f>X213/X217</f>
        <v>0.49224178276991748</v>
      </c>
    </row>
    <row r="220" spans="1:26">
      <c r="A220" s="167">
        <v>9</v>
      </c>
      <c r="B220" s="167">
        <v>12.6</v>
      </c>
      <c r="C220" s="167">
        <v>30</v>
      </c>
      <c r="D220" s="167">
        <v>2.8159999999999998</v>
      </c>
      <c r="E220" s="167">
        <v>1.266</v>
      </c>
      <c r="F220" s="167">
        <v>1.9810000000000001</v>
      </c>
      <c r="G220" s="167">
        <v>3.2469999999999999</v>
      </c>
      <c r="H220" s="167">
        <v>0.72699999999999998</v>
      </c>
      <c r="I220" s="167">
        <v>59.3</v>
      </c>
      <c r="J220" s="167">
        <v>0.45600000000000002</v>
      </c>
      <c r="L220" s="141">
        <f t="shared" si="16"/>
        <v>1086.4197530864199</v>
      </c>
      <c r="M220" s="141">
        <f t="shared" si="16"/>
        <v>488.42592592592592</v>
      </c>
      <c r="N220" s="141">
        <f t="shared" si="16"/>
        <v>764.2746913580246</v>
      </c>
      <c r="O220" s="141">
        <f t="shared" si="16"/>
        <v>1252.7006172839506</v>
      </c>
      <c r="P220" s="141">
        <f t="shared" si="16"/>
        <v>280.47839506172835</v>
      </c>
      <c r="Q220" s="141">
        <f t="shared" si="16"/>
        <v>22878.086419753086</v>
      </c>
      <c r="R220" s="141">
        <f>1000000*J220/3.6/$C220/24</f>
        <v>175.9259259259259</v>
      </c>
      <c r="S220" s="141">
        <f>(S$209-B220)*S$208/30</f>
        <v>51.333333333333378</v>
      </c>
      <c r="T220" s="141">
        <f t="shared" si="13"/>
        <v>1086.4197530864199</v>
      </c>
      <c r="U220" s="141">
        <f t="shared" si="14"/>
        <v>910.71334876543199</v>
      </c>
      <c r="V220" s="141">
        <f t="shared" si="15"/>
        <v>-0.21952160493799511</v>
      </c>
      <c r="X220" s="141" t="s">
        <v>1214</v>
      </c>
    </row>
    <row r="221" spans="1:26">
      <c r="A221" s="167">
        <v>10</v>
      </c>
      <c r="B221" s="167">
        <v>7.8</v>
      </c>
      <c r="C221" s="167">
        <v>31</v>
      </c>
      <c r="D221" s="167">
        <v>4.55</v>
      </c>
      <c r="E221" s="167">
        <v>1.321</v>
      </c>
      <c r="F221" s="167">
        <v>1.41</v>
      </c>
      <c r="G221" s="167">
        <v>2.7309999999999999</v>
      </c>
      <c r="H221" s="167">
        <v>0.93799999999999994</v>
      </c>
      <c r="I221" s="167">
        <v>100</v>
      </c>
      <c r="J221" s="167">
        <v>1.9890000000000001</v>
      </c>
      <c r="L221" s="141">
        <f t="shared" si="16"/>
        <v>1698.7753882915169</v>
      </c>
      <c r="M221" s="141">
        <f t="shared" si="16"/>
        <v>493.20489844683397</v>
      </c>
      <c r="N221" s="141">
        <f t="shared" si="16"/>
        <v>526.43369175627242</v>
      </c>
      <c r="O221" s="141">
        <f t="shared" si="16"/>
        <v>1019.6385902031064</v>
      </c>
      <c r="P221" s="141">
        <f t="shared" si="16"/>
        <v>350.20908004778971</v>
      </c>
      <c r="Q221" s="141">
        <f t="shared" si="16"/>
        <v>37335.722819593786</v>
      </c>
      <c r="R221" s="141">
        <f>1000000*J221/3.6/$C221/24</f>
        <v>742.60752688172045</v>
      </c>
      <c r="S221" s="141">
        <f>(S$209-B221)*S$208/30</f>
        <v>667.33333333333337</v>
      </c>
      <c r="T221" s="141">
        <f t="shared" si="13"/>
        <v>1698.7753882915169</v>
      </c>
      <c r="U221" s="141">
        <f t="shared" si="14"/>
        <v>956.42099761051384</v>
      </c>
      <c r="V221" s="141">
        <f t="shared" si="15"/>
        <v>-0.25313620071733567</v>
      </c>
      <c r="X221" s="141" t="s">
        <v>1213</v>
      </c>
    </row>
    <row r="222" spans="1:26">
      <c r="A222" s="167">
        <v>11</v>
      </c>
      <c r="B222" s="167">
        <v>2.6</v>
      </c>
      <c r="C222" s="167">
        <v>30</v>
      </c>
      <c r="D222" s="167">
        <v>6.1219999999999999</v>
      </c>
      <c r="E222" s="167">
        <v>1.296</v>
      </c>
      <c r="F222" s="167">
        <v>0.89700000000000002</v>
      </c>
      <c r="G222" s="167">
        <v>2.1930000000000001</v>
      </c>
      <c r="H222" s="167">
        <v>0.98799999999999999</v>
      </c>
      <c r="I222" s="167">
        <v>100</v>
      </c>
      <c r="J222" s="167">
        <v>3.956</v>
      </c>
      <c r="L222" s="141">
        <f t="shared" si="16"/>
        <v>2361.8827160493825</v>
      </c>
      <c r="M222" s="141">
        <f t="shared" si="16"/>
        <v>500</v>
      </c>
      <c r="N222" s="141">
        <f t="shared" si="16"/>
        <v>346.06481481481478</v>
      </c>
      <c r="O222" s="141">
        <f t="shared" si="16"/>
        <v>846.06481481481478</v>
      </c>
      <c r="P222" s="141">
        <f t="shared" si="16"/>
        <v>381.17283950617281</v>
      </c>
      <c r="Q222" s="141">
        <f t="shared" si="16"/>
        <v>38580.246913580246</v>
      </c>
      <c r="R222" s="141">
        <f>1000000*J222/3.6/$C222/24</f>
        <v>1526.2345679012344</v>
      </c>
      <c r="S222" s="141">
        <f>(S$209-B222)*S$208/30</f>
        <v>1334.6666666666667</v>
      </c>
      <c r="T222" s="141">
        <f t="shared" si="13"/>
        <v>2361.8827160493825</v>
      </c>
      <c r="U222" s="141">
        <f t="shared" si="14"/>
        <v>835.91203703703695</v>
      </c>
      <c r="V222" s="141">
        <f t="shared" si="15"/>
        <v>-0.26388888888891415</v>
      </c>
    </row>
    <row r="223" spans="1:26">
      <c r="A223" s="167">
        <v>12</v>
      </c>
      <c r="B223" s="167">
        <v>-2</v>
      </c>
      <c r="C223" s="167">
        <v>31</v>
      </c>
      <c r="D223" s="167">
        <v>7.8979999999999997</v>
      </c>
      <c r="E223" s="167">
        <v>1.36</v>
      </c>
      <c r="F223" s="167">
        <v>0.79600000000000004</v>
      </c>
      <c r="G223" s="167">
        <v>2.1560000000000001</v>
      </c>
      <c r="H223" s="167">
        <v>0.996</v>
      </c>
      <c r="I223" s="167">
        <v>100</v>
      </c>
      <c r="J223" s="167">
        <v>5.7519999999999998</v>
      </c>
      <c r="L223" s="141">
        <f t="shared" si="16"/>
        <v>2948.7753882915172</v>
      </c>
      <c r="M223" s="141">
        <f t="shared" si="16"/>
        <v>507.76583034647547</v>
      </c>
      <c r="N223" s="141">
        <f t="shared" si="16"/>
        <v>297.19235364396656</v>
      </c>
      <c r="O223" s="141">
        <f t="shared" si="16"/>
        <v>804.95818399044208</v>
      </c>
      <c r="P223" s="141">
        <f t="shared" si="16"/>
        <v>371.86379928315415</v>
      </c>
      <c r="Q223" s="141">
        <f t="shared" si="16"/>
        <v>37335.722819593786</v>
      </c>
      <c r="R223" s="141">
        <f>1000000*J223/3.6/$C223/24</f>
        <v>2147.5507765830348</v>
      </c>
      <c r="S223" s="141">
        <f>(S$209-B223)*S$208/30</f>
        <v>1925</v>
      </c>
      <c r="T223" s="141">
        <f t="shared" si="13"/>
        <v>2948.7753882915172</v>
      </c>
      <c r="U223" s="141">
        <f t="shared" si="14"/>
        <v>801.73835125448034</v>
      </c>
      <c r="V223" s="141">
        <f t="shared" si="15"/>
        <v>-0.51373954599796434</v>
      </c>
      <c r="X223" s="141" t="s">
        <v>1436</v>
      </c>
    </row>
    <row r="224" spans="1:26">
      <c r="A224" s="171" t="s">
        <v>1144</v>
      </c>
      <c r="B224" s="167">
        <v>-4.2</v>
      </c>
      <c r="C224" s="171" t="s">
        <v>1212</v>
      </c>
      <c r="L224" s="141">
        <f t="shared" ref="L224:R224" si="17">L212</f>
        <v>3229.5400238948623</v>
      </c>
      <c r="M224" s="141">
        <f t="shared" si="17"/>
        <v>508.51254480286735</v>
      </c>
      <c r="N224" s="141">
        <f t="shared" si="17"/>
        <v>387.91816009557942</v>
      </c>
      <c r="O224" s="141">
        <f t="shared" si="17"/>
        <v>896.43070489844683</v>
      </c>
      <c r="P224" s="141">
        <f t="shared" si="17"/>
        <v>371.49044205495812</v>
      </c>
      <c r="Q224" s="141">
        <f t="shared" si="17"/>
        <v>37335.722819593786</v>
      </c>
      <c r="R224" s="141">
        <f t="shared" si="17"/>
        <v>2337.216248506571</v>
      </c>
      <c r="S224" s="141">
        <f>(S$209-B224)*S$208/30</f>
        <v>2207.3333333333335</v>
      </c>
      <c r="T224" s="141">
        <f t="shared" si="13"/>
        <v>3229.5400238948623</v>
      </c>
      <c r="U224" s="141">
        <f>U212</f>
        <v>891.94855137395461</v>
      </c>
      <c r="V224" s="141">
        <f t="shared" si="15"/>
        <v>0.37522401433670893</v>
      </c>
      <c r="X224" s="143">
        <f>(21-13)*3850/30</f>
        <v>1026.6666666666667</v>
      </c>
      <c r="Y224" s="143" t="s">
        <v>1393</v>
      </c>
    </row>
    <row r="225" spans="1:25">
      <c r="C225" s="171" t="s">
        <v>1211</v>
      </c>
      <c r="Q225" s="141" t="s">
        <v>1417</v>
      </c>
      <c r="R225" s="141">
        <f>SUM(R212:R223)</f>
        <v>10451.79602605678</v>
      </c>
      <c r="T225" s="141">
        <f>SUM(T212:T223)</f>
        <v>21213.528332479946</v>
      </c>
      <c r="V225" s="141">
        <f t="shared" si="15"/>
        <v>10761.732306423166</v>
      </c>
      <c r="X225" s="143">
        <v>384.75</v>
      </c>
      <c r="Y225" s="143" t="s">
        <v>1437</v>
      </c>
    </row>
    <row r="226" spans="1:25">
      <c r="C226" s="171" t="s">
        <v>1210</v>
      </c>
      <c r="Q226" s="143" t="s">
        <v>1418</v>
      </c>
      <c r="S226" s="143">
        <f>R225/T225</f>
        <v>0.49269484369811684</v>
      </c>
      <c r="X226" s="143">
        <v>76.950000000000017</v>
      </c>
      <c r="Y226" s="143" t="s">
        <v>158</v>
      </c>
    </row>
    <row r="227" spans="1:25">
      <c r="A227" s="179" t="s">
        <v>1209</v>
      </c>
      <c r="C227" s="179" t="s">
        <v>1208</v>
      </c>
      <c r="D227" s="141">
        <f>SUM(D212:D223)</f>
        <v>55.554000000000002</v>
      </c>
      <c r="E227" s="141">
        <f>SUM(E212:E223)</f>
        <v>15.527999999999999</v>
      </c>
      <c r="F227" s="141">
        <f>SUM(F212:F223)</f>
        <v>22.510999999999999</v>
      </c>
      <c r="G227" s="141">
        <f>SUM(G212:G223)</f>
        <v>38.040999999999997</v>
      </c>
      <c r="H227" s="141">
        <f>SUM(H212:H223)</f>
        <v>9.3500000000000014</v>
      </c>
      <c r="J227" s="141">
        <f>SUM(J212:J223)</f>
        <v>27.345999999999997</v>
      </c>
      <c r="X227" s="143">
        <v>16.03125</v>
      </c>
      <c r="Y227" s="143" t="s">
        <v>1430</v>
      </c>
    </row>
    <row r="228" spans="1:25">
      <c r="A228" s="179"/>
      <c r="X228" s="143">
        <f>X224-X225-X226-X227</f>
        <v>548.9354166666667</v>
      </c>
      <c r="Y228" s="143" t="s">
        <v>1435</v>
      </c>
    </row>
    <row r="229" spans="1:25">
      <c r="B229" s="178" t="s">
        <v>1207</v>
      </c>
    </row>
    <row r="230" spans="1:25">
      <c r="A230" s="172"/>
    </row>
    <row r="231" spans="1:25">
      <c r="B231" s="164" t="s">
        <v>1151</v>
      </c>
      <c r="C231" s="164" t="s">
        <v>1150</v>
      </c>
      <c r="D231" s="164" t="s">
        <v>1149</v>
      </c>
      <c r="E231" s="164" t="s">
        <v>1148</v>
      </c>
      <c r="F231" s="164" t="s">
        <v>1147</v>
      </c>
      <c r="G231" s="164" t="s">
        <v>1146</v>
      </c>
      <c r="H231" s="164" t="s">
        <v>1145</v>
      </c>
      <c r="I231" s="164" t="s">
        <v>787</v>
      </c>
    </row>
    <row r="232" spans="1:25">
      <c r="B232" s="167">
        <v>1</v>
      </c>
      <c r="C232" s="167">
        <v>1.5069999999999999</v>
      </c>
      <c r="D232" s="167" t="s">
        <v>1110</v>
      </c>
      <c r="E232" s="167" t="s">
        <v>1110</v>
      </c>
      <c r="F232" s="167">
        <v>1.02</v>
      </c>
      <c r="G232" s="167">
        <v>0.17899999999999999</v>
      </c>
      <c r="H232" s="167" t="s">
        <v>1110</v>
      </c>
      <c r="I232" s="167">
        <v>2.7050000000000001</v>
      </c>
    </row>
    <row r="233" spans="1:25">
      <c r="B233" s="167">
        <v>2</v>
      </c>
      <c r="C233" s="167">
        <v>1.036</v>
      </c>
      <c r="D233" s="167" t="s">
        <v>1110</v>
      </c>
      <c r="E233" s="167" t="s">
        <v>1110</v>
      </c>
      <c r="F233" s="167">
        <v>1.02</v>
      </c>
      <c r="G233" s="167">
        <v>0.13300000000000001</v>
      </c>
      <c r="H233" s="167" t="s">
        <v>1110</v>
      </c>
      <c r="I233" s="167">
        <v>2.1890000000000001</v>
      </c>
    </row>
    <row r="234" spans="1:25">
      <c r="B234" s="167">
        <v>3</v>
      </c>
      <c r="C234" s="167">
        <v>0.751</v>
      </c>
      <c r="D234" s="167" t="s">
        <v>1110</v>
      </c>
      <c r="E234" s="167" t="s">
        <v>1110</v>
      </c>
      <c r="F234" s="167">
        <v>1.02</v>
      </c>
      <c r="G234" s="167">
        <v>0.122</v>
      </c>
      <c r="H234" s="167" t="s">
        <v>1110</v>
      </c>
      <c r="I234" s="167">
        <v>1.893</v>
      </c>
      <c r="Q234" s="141" t="s">
        <v>407</v>
      </c>
    </row>
    <row r="235" spans="1:25">
      <c r="B235" s="167">
        <v>4</v>
      </c>
      <c r="C235" s="167">
        <v>0.28699999999999998</v>
      </c>
      <c r="D235" s="167" t="s">
        <v>1110</v>
      </c>
      <c r="E235" s="167" t="s">
        <v>1110</v>
      </c>
      <c r="F235" s="167">
        <v>1.02</v>
      </c>
      <c r="G235" s="167">
        <v>9.7000000000000003E-2</v>
      </c>
      <c r="H235" s="167" t="s">
        <v>1110</v>
      </c>
      <c r="I235" s="167">
        <v>1.403</v>
      </c>
      <c r="Q235" s="141">
        <v>128.25</v>
      </c>
      <c r="R235" s="141">
        <v>3</v>
      </c>
      <c r="S235" s="141">
        <f>Q235*R235</f>
        <v>384.75</v>
      </c>
      <c r="T235" s="141" t="s">
        <v>1431</v>
      </c>
    </row>
    <row r="236" spans="1:25">
      <c r="B236" s="167">
        <v>5</v>
      </c>
      <c r="C236" s="167">
        <v>7.5999999999999998E-2</v>
      </c>
      <c r="D236" s="167" t="s">
        <v>1110</v>
      </c>
      <c r="E236" s="167" t="s">
        <v>1110</v>
      </c>
      <c r="F236" s="167">
        <v>1.02</v>
      </c>
      <c r="G236" s="167">
        <v>8.2000000000000003E-2</v>
      </c>
      <c r="H236" s="167" t="s">
        <v>1110</v>
      </c>
      <c r="I236" s="167">
        <v>1.1779999999999999</v>
      </c>
      <c r="Q236" s="141">
        <v>128.25</v>
      </c>
      <c r="R236" s="141">
        <f>3*0.2</f>
        <v>0.60000000000000009</v>
      </c>
      <c r="S236" s="141">
        <f>Q236*R236</f>
        <v>76.950000000000017</v>
      </c>
      <c r="T236" s="141" t="s">
        <v>158</v>
      </c>
    </row>
    <row r="237" spans="1:25">
      <c r="B237" s="167">
        <v>6</v>
      </c>
      <c r="C237" s="167" t="s">
        <v>1110</v>
      </c>
      <c r="D237" s="167" t="s">
        <v>1110</v>
      </c>
      <c r="E237" s="167" t="s">
        <v>1110</v>
      </c>
      <c r="F237" s="167">
        <v>1.02</v>
      </c>
      <c r="G237" s="167">
        <v>7.3999999999999996E-2</v>
      </c>
      <c r="H237" s="167" t="s">
        <v>1110</v>
      </c>
      <c r="I237" s="167">
        <v>1.0940000000000001</v>
      </c>
      <c r="Q237" s="141">
        <v>128.25</v>
      </c>
      <c r="R237" s="141">
        <f>3/24</f>
        <v>0.125</v>
      </c>
      <c r="S237" s="141">
        <f>Q237*R237</f>
        <v>16.03125</v>
      </c>
      <c r="T237" s="141" t="s">
        <v>1430</v>
      </c>
      <c r="W237" s="141">
        <f>SUM(S235:S237)</f>
        <v>477.73125000000005</v>
      </c>
      <c r="X237" s="141" t="s">
        <v>1432</v>
      </c>
    </row>
    <row r="238" spans="1:25">
      <c r="B238" s="167">
        <v>7</v>
      </c>
      <c r="C238" s="167" t="s">
        <v>1110</v>
      </c>
      <c r="D238" s="167" t="s">
        <v>1110</v>
      </c>
      <c r="E238" s="167" t="s">
        <v>1110</v>
      </c>
      <c r="F238" s="167">
        <v>1.02</v>
      </c>
      <c r="G238" s="167">
        <v>7.5999999999999998E-2</v>
      </c>
      <c r="H238" s="167" t="s">
        <v>1110</v>
      </c>
      <c r="I238" s="167">
        <v>1.0960000000000001</v>
      </c>
      <c r="Q238" s="141">
        <v>128.25</v>
      </c>
    </row>
    <row r="239" spans="1:25">
      <c r="B239" s="167">
        <v>8</v>
      </c>
      <c r="C239" s="167" t="s">
        <v>1110</v>
      </c>
      <c r="D239" s="167" t="s">
        <v>1110</v>
      </c>
      <c r="E239" s="167" t="s">
        <v>1110</v>
      </c>
      <c r="F239" s="167">
        <v>1.02</v>
      </c>
      <c r="G239" s="167">
        <v>8.2000000000000003E-2</v>
      </c>
      <c r="H239" s="167" t="s">
        <v>1110</v>
      </c>
      <c r="I239" s="167">
        <v>1.1020000000000001</v>
      </c>
      <c r="S239" s="141">
        <v>60</v>
      </c>
      <c r="T239" s="141" t="s">
        <v>3</v>
      </c>
    </row>
    <row r="240" spans="1:25">
      <c r="B240" s="167">
        <v>9</v>
      </c>
      <c r="C240" s="167">
        <v>0.11</v>
      </c>
      <c r="D240" s="167" t="s">
        <v>1110</v>
      </c>
      <c r="E240" s="167" t="s">
        <v>1110</v>
      </c>
      <c r="F240" s="167">
        <v>1.02</v>
      </c>
      <c r="G240" s="167">
        <v>9.9000000000000005E-2</v>
      </c>
      <c r="H240" s="167" t="s">
        <v>1110</v>
      </c>
      <c r="I240" s="167">
        <v>1.228</v>
      </c>
      <c r="S240" s="141">
        <f>S239*1000/365</f>
        <v>164.38356164383561</v>
      </c>
      <c r="T240" s="141" t="s">
        <v>1429</v>
      </c>
    </row>
    <row r="241" spans="1:23">
      <c r="B241" s="167">
        <v>10</v>
      </c>
      <c r="C241" s="167">
        <v>0.47899999999999998</v>
      </c>
      <c r="D241" s="167" t="s">
        <v>1110</v>
      </c>
      <c r="E241" s="167" t="s">
        <v>1110</v>
      </c>
      <c r="F241" s="167">
        <v>1.02</v>
      </c>
      <c r="G241" s="167">
        <v>0.121</v>
      </c>
      <c r="H241" s="167" t="s">
        <v>1110</v>
      </c>
      <c r="I241" s="167">
        <v>1.619</v>
      </c>
      <c r="S241" s="141">
        <v>40</v>
      </c>
      <c r="T241" s="141" t="s">
        <v>1428</v>
      </c>
    </row>
    <row r="242" spans="1:23">
      <c r="B242" s="167">
        <v>11</v>
      </c>
      <c r="C242" s="167">
        <v>0.95199999999999996</v>
      </c>
      <c r="D242" s="167" t="s">
        <v>1110</v>
      </c>
      <c r="E242" s="167" t="s">
        <v>1110</v>
      </c>
      <c r="F242" s="167">
        <v>1.02</v>
      </c>
      <c r="G242" s="167">
        <v>0.14099999999999999</v>
      </c>
      <c r="H242" s="167" t="s">
        <v>1110</v>
      </c>
      <c r="I242" s="167">
        <v>2.113</v>
      </c>
      <c r="S242" s="141">
        <f>S240*S241*4.2/3600</f>
        <v>7.6712328767123292</v>
      </c>
      <c r="T242" s="141" t="s">
        <v>1427</v>
      </c>
    </row>
    <row r="243" spans="1:23">
      <c r="B243" s="167">
        <v>12</v>
      </c>
      <c r="C243" s="167">
        <v>1.3839999999999999</v>
      </c>
      <c r="D243" s="167" t="s">
        <v>1110</v>
      </c>
      <c r="E243" s="167" t="s">
        <v>1110</v>
      </c>
      <c r="F243" s="167">
        <v>1.02</v>
      </c>
      <c r="G243" s="167">
        <v>0.17599999999999999</v>
      </c>
      <c r="H243" s="167" t="s">
        <v>1110</v>
      </c>
      <c r="I243" s="167">
        <v>2.58</v>
      </c>
      <c r="S243" s="141">
        <f>365*S242</f>
        <v>2800</v>
      </c>
      <c r="T243" s="141" t="s">
        <v>1426</v>
      </c>
    </row>
    <row r="244" spans="1:23">
      <c r="B244" s="171" t="s">
        <v>1144</v>
      </c>
      <c r="C244" s="171" t="s">
        <v>1143</v>
      </c>
    </row>
    <row r="245" spans="1:23">
      <c r="C245" s="171" t="s">
        <v>1142</v>
      </c>
      <c r="Q245" s="141" t="s">
        <v>3</v>
      </c>
      <c r="S245" s="141" t="s">
        <v>1425</v>
      </c>
    </row>
    <row r="246" spans="1:23">
      <c r="C246" s="171" t="s">
        <v>1141</v>
      </c>
      <c r="Q246" s="141">
        <v>448.88</v>
      </c>
      <c r="S246" s="141">
        <v>4.5</v>
      </c>
    </row>
    <row r="247" spans="1:23">
      <c r="C247" s="171" t="s">
        <v>1140</v>
      </c>
      <c r="Q247" s="141" t="s">
        <v>1424</v>
      </c>
      <c r="R247" s="141">
        <f>(SUM(R250:R259)+R248)/R261</f>
        <v>3.5</v>
      </c>
    </row>
    <row r="248" spans="1:23">
      <c r="B248" s="169" t="s">
        <v>1206</v>
      </c>
      <c r="C248" s="169" t="s">
        <v>1205</v>
      </c>
      <c r="Q248" s="141" t="s">
        <v>1423</v>
      </c>
      <c r="R248" s="141">
        <v>142.38</v>
      </c>
      <c r="S248" s="141">
        <v>0.16</v>
      </c>
      <c r="T248" s="141">
        <f t="shared" ref="T248:T260" si="18">R248*S248</f>
        <v>22.780799999999999</v>
      </c>
    </row>
    <row r="249" spans="1:23">
      <c r="A249" s="167"/>
      <c r="Q249" s="141" t="s">
        <v>1422</v>
      </c>
      <c r="R249" s="141">
        <v>128.25</v>
      </c>
      <c r="S249" s="141">
        <v>9.9000000000000005E-2</v>
      </c>
      <c r="T249" s="141">
        <f t="shared" si="18"/>
        <v>12.69675</v>
      </c>
    </row>
    <row r="250" spans="1:23">
      <c r="A250" s="167"/>
      <c r="Q250" s="141">
        <v>1</v>
      </c>
      <c r="R250" s="141">
        <v>0.7</v>
      </c>
      <c r="S250" s="141">
        <v>8</v>
      </c>
      <c r="T250" s="141">
        <f t="shared" si="18"/>
        <v>5.6</v>
      </c>
      <c r="V250" s="141">
        <f>SUM(R250:R259)</f>
        <v>18.620000000000005</v>
      </c>
      <c r="W250" s="141" t="s">
        <v>1421</v>
      </c>
    </row>
    <row r="251" spans="1:23">
      <c r="A251" s="167"/>
      <c r="Q251" s="141">
        <v>2</v>
      </c>
      <c r="R251" s="141">
        <v>4.5999999999999996</v>
      </c>
      <c r="S251" s="141">
        <v>0.8</v>
      </c>
      <c r="T251" s="141">
        <f t="shared" si="18"/>
        <v>3.6799999999999997</v>
      </c>
    </row>
    <row r="252" spans="1:23">
      <c r="B252" s="177" t="s">
        <v>1204</v>
      </c>
      <c r="Q252" s="141">
        <v>3</v>
      </c>
      <c r="R252" s="141">
        <v>2.25</v>
      </c>
      <c r="S252" s="141">
        <v>0.8</v>
      </c>
      <c r="T252" s="141">
        <f t="shared" si="18"/>
        <v>1.8</v>
      </c>
    </row>
    <row r="253" spans="1:23">
      <c r="B253" s="167" t="s">
        <v>1203</v>
      </c>
      <c r="C253" s="167" t="s">
        <v>1202</v>
      </c>
      <c r="Q253" s="141">
        <v>4</v>
      </c>
      <c r="R253" s="141">
        <v>1.26</v>
      </c>
      <c r="S253" s="141">
        <v>0.8</v>
      </c>
      <c r="T253" s="141">
        <f t="shared" si="18"/>
        <v>1.008</v>
      </c>
    </row>
    <row r="254" spans="1:23">
      <c r="B254" s="168" t="s">
        <v>1201</v>
      </c>
      <c r="Q254" s="141">
        <v>5</v>
      </c>
      <c r="R254" s="141">
        <v>1.26</v>
      </c>
      <c r="S254" s="141">
        <v>0.8</v>
      </c>
      <c r="T254" s="141">
        <f t="shared" si="18"/>
        <v>1.008</v>
      </c>
    </row>
    <row r="255" spans="1:23">
      <c r="B255" s="164" t="s">
        <v>1200</v>
      </c>
      <c r="C255" s="164" t="s">
        <v>1199</v>
      </c>
      <c r="D255" s="164" t="s">
        <v>1198</v>
      </c>
      <c r="E255" s="164" t="s">
        <v>821</v>
      </c>
      <c r="Q255" s="141">
        <v>6</v>
      </c>
      <c r="R255" s="141">
        <v>3.9</v>
      </c>
      <c r="S255" s="141">
        <v>0.8</v>
      </c>
      <c r="T255" s="141">
        <f t="shared" si="18"/>
        <v>3.12</v>
      </c>
    </row>
    <row r="256" spans="1:23">
      <c r="B256" s="176">
        <v>1</v>
      </c>
      <c r="C256" s="176" t="s">
        <v>1197</v>
      </c>
      <c r="D256" s="176">
        <v>138.739</v>
      </c>
      <c r="E256" s="175">
        <v>1</v>
      </c>
      <c r="Q256" s="141">
        <v>7</v>
      </c>
      <c r="R256" s="141">
        <v>0.72</v>
      </c>
      <c r="S256" s="141">
        <v>0.8</v>
      </c>
      <c r="T256" s="141">
        <f t="shared" si="18"/>
        <v>0.57599999999999996</v>
      </c>
    </row>
    <row r="257" spans="1:26" ht="15.75" thickBot="1">
      <c r="B257" s="167" t="s">
        <v>1196</v>
      </c>
      <c r="C257" s="167" t="s">
        <v>1195</v>
      </c>
      <c r="D257" s="167">
        <v>57.231999999999999</v>
      </c>
      <c r="E257" s="173">
        <v>0.41299999999999998</v>
      </c>
      <c r="Q257" s="141">
        <v>8</v>
      </c>
      <c r="R257" s="141">
        <v>0.8</v>
      </c>
      <c r="S257" s="141">
        <v>0.8</v>
      </c>
      <c r="T257" s="141">
        <f t="shared" si="18"/>
        <v>0.64000000000000012</v>
      </c>
      <c r="X257" s="141">
        <f>SUM(X259:X263)</f>
        <v>2894.5758000000001</v>
      </c>
    </row>
    <row r="258" spans="1:26">
      <c r="C258" s="167" t="s">
        <v>1194</v>
      </c>
      <c r="D258" s="167">
        <v>22.783000000000001</v>
      </c>
      <c r="E258" s="173">
        <v>0.16400000000000001</v>
      </c>
      <c r="Q258" s="141">
        <v>9</v>
      </c>
      <c r="R258" s="141">
        <v>0.6</v>
      </c>
      <c r="S258" s="141">
        <v>0.8</v>
      </c>
      <c r="T258" s="141">
        <f t="shared" si="18"/>
        <v>0.48</v>
      </c>
      <c r="Y258" s="119">
        <v>2828.4298969071938</v>
      </c>
      <c r="Z258" s="116" t="s">
        <v>1432</v>
      </c>
    </row>
    <row r="259" spans="1:26">
      <c r="C259" s="167" t="s">
        <v>1193</v>
      </c>
      <c r="D259" s="167" t="s">
        <v>1110</v>
      </c>
      <c r="E259" s="173">
        <v>0</v>
      </c>
      <c r="Q259" s="141">
        <v>10</v>
      </c>
      <c r="R259" s="141">
        <v>2.5299999999999998</v>
      </c>
      <c r="S259" s="141">
        <v>0.8</v>
      </c>
      <c r="T259" s="141">
        <f t="shared" si="18"/>
        <v>2.024</v>
      </c>
      <c r="U259" s="141">
        <f>SUM(T248:T259)</f>
        <v>55.413550000000001</v>
      </c>
      <c r="X259" s="141">
        <f>36*U259</f>
        <v>1994.8878</v>
      </c>
      <c r="Y259" s="118">
        <v>475.87953191381439</v>
      </c>
      <c r="Z259" s="115" t="s">
        <v>358</v>
      </c>
    </row>
    <row r="260" spans="1:26">
      <c r="C260" s="167" t="s">
        <v>1192</v>
      </c>
      <c r="D260" s="167">
        <v>8.35</v>
      </c>
      <c r="E260" s="173">
        <v>0.06</v>
      </c>
      <c r="Q260" s="141" t="s">
        <v>1419</v>
      </c>
      <c r="R260" s="141">
        <v>128.25</v>
      </c>
      <c r="S260" s="141">
        <v>0.17799999999999999</v>
      </c>
      <c r="T260" s="141">
        <f t="shared" si="18"/>
        <v>22.828499999999998</v>
      </c>
      <c r="U260" s="141">
        <f>T260/2</f>
        <v>11.414249999999999</v>
      </c>
      <c r="X260" s="141">
        <f>36*U260</f>
        <v>410.91299999999995</v>
      </c>
      <c r="Y260" s="118">
        <v>462.87389435266164</v>
      </c>
      <c r="Z260" s="115" t="s">
        <v>359</v>
      </c>
    </row>
    <row r="261" spans="1:26">
      <c r="C261" s="167" t="s">
        <v>1191</v>
      </c>
      <c r="D261" s="167">
        <v>50.374000000000002</v>
      </c>
      <c r="E261" s="173">
        <v>0.36299999999999999</v>
      </c>
      <c r="Q261" s="141" t="s">
        <v>1420</v>
      </c>
      <c r="R261" s="141">
        <v>46</v>
      </c>
      <c r="S261" s="141">
        <f>1/3.94</f>
        <v>0.25380710659898476</v>
      </c>
      <c r="Y261" s="118">
        <v>534.15466950638552</v>
      </c>
      <c r="Z261" s="115" t="s">
        <v>360</v>
      </c>
    </row>
    <row r="262" spans="1:26">
      <c r="B262" s="174" t="s">
        <v>828</v>
      </c>
      <c r="Y262" s="118">
        <v>843.89856192946706</v>
      </c>
      <c r="Z262" s="115" t="s">
        <v>361</v>
      </c>
    </row>
    <row r="263" spans="1:26">
      <c r="C263" s="167" t="s">
        <v>1190</v>
      </c>
      <c r="D263" s="167">
        <v>22.780999999999999</v>
      </c>
      <c r="E263" s="173">
        <v>0.16400000000000001</v>
      </c>
      <c r="Q263" s="141">
        <v>449</v>
      </c>
      <c r="R263" s="141">
        <v>266</v>
      </c>
      <c r="S263" s="141">
        <v>0.15</v>
      </c>
      <c r="U263" s="141">
        <f>R263*S263/3.6*1.225</f>
        <v>13.577083333333333</v>
      </c>
      <c r="X263" s="141">
        <f>36*U263</f>
        <v>488.77499999999998</v>
      </c>
      <c r="Y263" s="118">
        <v>499.90380590087472</v>
      </c>
      <c r="Z263" s="36" t="s">
        <v>362</v>
      </c>
    </row>
    <row r="264" spans="1:26">
      <c r="C264" s="167" t="s">
        <v>1189</v>
      </c>
      <c r="D264" s="167">
        <v>12.696999999999999</v>
      </c>
      <c r="E264" s="173">
        <v>9.1999999999999998E-2</v>
      </c>
    </row>
    <row r="265" spans="1:26">
      <c r="C265" s="167" t="s">
        <v>1188</v>
      </c>
      <c r="D265" s="167">
        <v>22.783000000000001</v>
      </c>
      <c r="E265" s="173">
        <v>0.16400000000000001</v>
      </c>
    </row>
    <row r="266" spans="1:26">
      <c r="C266" s="167" t="s">
        <v>1187</v>
      </c>
      <c r="D266" s="167">
        <v>14.896000000000001</v>
      </c>
      <c r="E266" s="173">
        <v>0.107</v>
      </c>
      <c r="U266" s="167"/>
      <c r="W266" s="34"/>
    </row>
    <row r="267" spans="1:26">
      <c r="C267" s="167" t="s">
        <v>1186</v>
      </c>
      <c r="D267" s="167" t="s">
        <v>1110</v>
      </c>
      <c r="E267" s="173">
        <v>0</v>
      </c>
    </row>
    <row r="268" spans="1:26">
      <c r="C268" s="167" t="s">
        <v>1185</v>
      </c>
      <c r="D268" s="167" t="s">
        <v>1110</v>
      </c>
      <c r="E268" s="173">
        <v>0</v>
      </c>
      <c r="O268" s="193"/>
    </row>
    <row r="269" spans="1:26">
      <c r="A269" s="167"/>
    </row>
    <row r="270" spans="1:26">
      <c r="A270" s="167"/>
    </row>
    <row r="271" spans="1:26">
      <c r="B271" s="168" t="s">
        <v>1184</v>
      </c>
    </row>
    <row r="272" spans="1:26">
      <c r="B272" s="167" t="s">
        <v>1183</v>
      </c>
      <c r="C272" s="167" t="s">
        <v>1182</v>
      </c>
      <c r="Q272" s="141" t="s">
        <v>1434</v>
      </c>
    </row>
    <row r="273" spans="1:22">
      <c r="B273" s="167" t="s">
        <v>1102</v>
      </c>
      <c r="D273" s="167" t="s">
        <v>1101</v>
      </c>
      <c r="S273" s="141" t="s">
        <v>345</v>
      </c>
      <c r="V273" s="141" t="s">
        <v>238</v>
      </c>
    </row>
    <row r="274" spans="1:22">
      <c r="B274" s="167" t="s">
        <v>1181</v>
      </c>
      <c r="C274" s="167" t="s">
        <v>1180</v>
      </c>
      <c r="Q274" s="141">
        <v>1</v>
      </c>
      <c r="R274" s="141">
        <v>6000</v>
      </c>
      <c r="S274" s="141">
        <v>0.14000000000000001</v>
      </c>
      <c r="T274" s="141">
        <f>Q274*R274*S274</f>
        <v>840.00000000000011</v>
      </c>
      <c r="U274" s="141">
        <f>T274/3+4000/15</f>
        <v>546.66666666666674</v>
      </c>
      <c r="V274" s="141">
        <f>U274/T274</f>
        <v>0.65079365079365081</v>
      </c>
    </row>
    <row r="275" spans="1:22">
      <c r="B275" s="167" t="s">
        <v>1179</v>
      </c>
      <c r="C275" s="167" t="s">
        <v>1178</v>
      </c>
      <c r="Q275" s="141">
        <v>1</v>
      </c>
      <c r="R275" s="141">
        <v>5000</v>
      </c>
      <c r="S275" s="141">
        <v>0.14000000000000001</v>
      </c>
      <c r="T275" s="141">
        <f t="shared" ref="T275:T279" si="19">Q275*R275*S275</f>
        <v>700.00000000000011</v>
      </c>
      <c r="U275" s="141">
        <f t="shared" ref="U275:U279" si="20">T275/3+4000/15</f>
        <v>500.00000000000006</v>
      </c>
      <c r="V275" s="141">
        <f t="shared" ref="V275:V279" si="21">U275/T275</f>
        <v>0.7142857142857143</v>
      </c>
    </row>
    <row r="276" spans="1:22">
      <c r="A276" s="172"/>
      <c r="Q276" s="141">
        <v>1</v>
      </c>
      <c r="R276" s="141">
        <v>4000</v>
      </c>
      <c r="S276" s="141">
        <v>0.14000000000000001</v>
      </c>
      <c r="T276" s="141">
        <f t="shared" si="19"/>
        <v>560</v>
      </c>
      <c r="U276" s="141">
        <f t="shared" si="20"/>
        <v>453.33333333333337</v>
      </c>
      <c r="V276" s="141">
        <f t="shared" si="21"/>
        <v>0.80952380952380965</v>
      </c>
    </row>
    <row r="277" spans="1:22">
      <c r="B277" s="171" t="s">
        <v>1177</v>
      </c>
      <c r="C277" s="171" t="s">
        <v>1176</v>
      </c>
      <c r="Q277" s="141">
        <v>1</v>
      </c>
      <c r="R277" s="141">
        <v>3000</v>
      </c>
      <c r="S277" s="141">
        <v>0.14000000000000001</v>
      </c>
      <c r="T277" s="141">
        <f t="shared" si="19"/>
        <v>420.00000000000006</v>
      </c>
      <c r="U277" s="141">
        <f t="shared" si="20"/>
        <v>406.66666666666674</v>
      </c>
      <c r="V277" s="141">
        <f t="shared" si="21"/>
        <v>0.96825396825396826</v>
      </c>
    </row>
    <row r="278" spans="1:22">
      <c r="C278" s="171" t="s">
        <v>1175</v>
      </c>
      <c r="Q278" s="141">
        <v>1</v>
      </c>
      <c r="R278" s="141">
        <v>2000</v>
      </c>
      <c r="S278" s="141">
        <v>0.14000000000000001</v>
      </c>
      <c r="T278" s="141">
        <f t="shared" si="19"/>
        <v>280</v>
      </c>
      <c r="U278" s="141">
        <f t="shared" si="20"/>
        <v>360</v>
      </c>
      <c r="V278" s="141">
        <f t="shared" si="21"/>
        <v>1.2857142857142858</v>
      </c>
    </row>
    <row r="279" spans="1:22">
      <c r="B279" s="168" t="s">
        <v>1174</v>
      </c>
      <c r="Q279" s="141">
        <v>1</v>
      </c>
      <c r="R279" s="141">
        <v>1000</v>
      </c>
      <c r="S279" s="141">
        <v>0.14000000000000001</v>
      </c>
      <c r="T279" s="141">
        <f t="shared" si="19"/>
        <v>140</v>
      </c>
      <c r="U279" s="141">
        <f t="shared" si="20"/>
        <v>313.33333333333337</v>
      </c>
      <c r="V279" s="141">
        <f t="shared" si="21"/>
        <v>2.2380952380952386</v>
      </c>
    </row>
    <row r="280" spans="1:22">
      <c r="B280" s="167" t="s">
        <v>1173</v>
      </c>
      <c r="C280" s="167" t="s">
        <v>1172</v>
      </c>
    </row>
    <row r="281" spans="1:22">
      <c r="B281" s="167" t="s">
        <v>1171</v>
      </c>
      <c r="C281" s="167" t="s">
        <v>1170</v>
      </c>
      <c r="S281" s="141" t="s">
        <v>345</v>
      </c>
    </row>
    <row r="282" spans="1:22">
      <c r="B282" s="167" t="s">
        <v>1169</v>
      </c>
      <c r="C282" s="167" t="s">
        <v>1168</v>
      </c>
      <c r="Q282" s="141">
        <v>1</v>
      </c>
      <c r="R282" s="141">
        <v>6000</v>
      </c>
      <c r="S282" s="141">
        <v>0.14000000000000001</v>
      </c>
      <c r="T282" s="141">
        <f>Q282*R282*S282</f>
        <v>840.00000000000011</v>
      </c>
      <c r="U282" s="141">
        <f>T282/3+4000/10</f>
        <v>680</v>
      </c>
      <c r="V282" s="141">
        <f>U282/T282</f>
        <v>0.80952380952380942</v>
      </c>
    </row>
    <row r="283" spans="1:22">
      <c r="B283" s="169" t="s">
        <v>1167</v>
      </c>
      <c r="C283" s="169" t="s">
        <v>1166</v>
      </c>
      <c r="Q283" s="141">
        <v>1</v>
      </c>
      <c r="R283" s="141">
        <v>5000</v>
      </c>
      <c r="S283" s="141">
        <v>0.14000000000000001</v>
      </c>
      <c r="T283" s="141">
        <f t="shared" ref="T283:T287" si="22">Q283*R283*S283</f>
        <v>700.00000000000011</v>
      </c>
      <c r="U283" s="141">
        <f t="shared" ref="U283:U287" si="23">T283/3+4000/10</f>
        <v>633.33333333333337</v>
      </c>
      <c r="V283" s="141">
        <f t="shared" ref="V283:V287" si="24">U283/T283</f>
        <v>0.90476190476190466</v>
      </c>
    </row>
    <row r="284" spans="1:22">
      <c r="A284" s="171"/>
      <c r="Q284" s="141">
        <v>1</v>
      </c>
      <c r="R284" s="141">
        <v>4000</v>
      </c>
      <c r="S284" s="141">
        <v>0.14000000000000001</v>
      </c>
      <c r="T284" s="141">
        <f t="shared" si="22"/>
        <v>560</v>
      </c>
      <c r="U284" s="141">
        <f t="shared" si="23"/>
        <v>586.66666666666663</v>
      </c>
      <c r="V284" s="141">
        <f t="shared" si="24"/>
        <v>1.0476190476190474</v>
      </c>
    </row>
    <row r="285" spans="1:22">
      <c r="B285" s="168" t="s">
        <v>1165</v>
      </c>
      <c r="Q285" s="141">
        <v>1</v>
      </c>
      <c r="R285" s="141">
        <v>3000</v>
      </c>
      <c r="S285" s="141">
        <v>0.14000000000000001</v>
      </c>
      <c r="T285" s="141">
        <f t="shared" si="22"/>
        <v>420.00000000000006</v>
      </c>
      <c r="U285" s="141">
        <f t="shared" si="23"/>
        <v>540</v>
      </c>
      <c r="V285" s="141">
        <f t="shared" si="24"/>
        <v>1.2857142857142856</v>
      </c>
    </row>
    <row r="286" spans="1:22">
      <c r="B286" s="167" t="s">
        <v>1164</v>
      </c>
      <c r="C286" s="167" t="s">
        <v>1163</v>
      </c>
      <c r="D286" s="167" t="s">
        <v>1162</v>
      </c>
      <c r="Q286" s="141">
        <v>1</v>
      </c>
      <c r="R286" s="141">
        <v>2000</v>
      </c>
      <c r="S286" s="141">
        <v>0.14000000000000001</v>
      </c>
      <c r="T286" s="141">
        <f t="shared" si="22"/>
        <v>280</v>
      </c>
      <c r="U286" s="141">
        <f t="shared" si="23"/>
        <v>493.33333333333331</v>
      </c>
      <c r="V286" s="141">
        <f t="shared" si="24"/>
        <v>1.7619047619047619</v>
      </c>
    </row>
    <row r="287" spans="1:22">
      <c r="B287" s="167" t="s">
        <v>1102</v>
      </c>
      <c r="C287" s="167" t="s">
        <v>1101</v>
      </c>
      <c r="Q287" s="141">
        <v>1</v>
      </c>
      <c r="R287" s="141">
        <v>1000</v>
      </c>
      <c r="S287" s="141">
        <v>0.14000000000000001</v>
      </c>
      <c r="T287" s="141">
        <f t="shared" si="22"/>
        <v>140</v>
      </c>
      <c r="U287" s="141">
        <f t="shared" si="23"/>
        <v>446.66666666666669</v>
      </c>
      <c r="V287" s="141">
        <f t="shared" si="24"/>
        <v>3.1904761904761907</v>
      </c>
    </row>
    <row r="288" spans="1:22">
      <c r="B288" s="167" t="s">
        <v>1100</v>
      </c>
      <c r="C288" s="167" t="s">
        <v>1099</v>
      </c>
    </row>
    <row r="289" spans="1:9">
      <c r="B289" s="167" t="s">
        <v>1161</v>
      </c>
      <c r="C289" s="167" t="s">
        <v>1160</v>
      </c>
    </row>
    <row r="290" spans="1:9">
      <c r="B290" s="166" t="s">
        <v>1159</v>
      </c>
      <c r="C290" s="166" t="s">
        <v>1158</v>
      </c>
    </row>
    <row r="291" spans="1:9">
      <c r="B291" s="167" t="s">
        <v>1157</v>
      </c>
      <c r="C291" s="167" t="s">
        <v>1156</v>
      </c>
    </row>
    <row r="292" spans="1:9">
      <c r="B292" s="167" t="s">
        <v>1155</v>
      </c>
    </row>
    <row r="293" spans="1:9">
      <c r="B293" s="167" t="s">
        <v>1154</v>
      </c>
      <c r="C293" s="167" t="s">
        <v>1153</v>
      </c>
    </row>
    <row r="294" spans="1:9">
      <c r="B294" s="165" t="s">
        <v>864</v>
      </c>
    </row>
    <row r="295" spans="1:9">
      <c r="B295" s="168" t="s">
        <v>1152</v>
      </c>
    </row>
    <row r="296" spans="1:9">
      <c r="A296" s="172"/>
    </row>
    <row r="297" spans="1:9">
      <c r="B297" s="164" t="s">
        <v>1151</v>
      </c>
      <c r="C297" s="164" t="s">
        <v>1150</v>
      </c>
      <c r="D297" s="164" t="s">
        <v>1149</v>
      </c>
      <c r="E297" s="164" t="s">
        <v>1148</v>
      </c>
      <c r="F297" s="164" t="s">
        <v>1147</v>
      </c>
      <c r="G297" s="164" t="s">
        <v>1146</v>
      </c>
      <c r="H297" s="164" t="s">
        <v>1145</v>
      </c>
      <c r="I297" s="164" t="s">
        <v>787</v>
      </c>
    </row>
    <row r="298" spans="1:9">
      <c r="B298" s="167">
        <v>1</v>
      </c>
      <c r="C298" s="167">
        <v>1.5069999999999999</v>
      </c>
      <c r="D298" s="167" t="s">
        <v>1110</v>
      </c>
      <c r="E298" s="167" t="s">
        <v>1110</v>
      </c>
      <c r="F298" s="167">
        <v>1.02</v>
      </c>
      <c r="G298" s="167">
        <v>0.17899999999999999</v>
      </c>
      <c r="H298" s="167" t="s">
        <v>1110</v>
      </c>
      <c r="I298" s="167">
        <v>2.7050000000000001</v>
      </c>
    </row>
    <row r="299" spans="1:9">
      <c r="B299" s="167">
        <v>2</v>
      </c>
      <c r="C299" s="167">
        <v>1.036</v>
      </c>
      <c r="D299" s="167" t="s">
        <v>1110</v>
      </c>
      <c r="E299" s="167" t="s">
        <v>1110</v>
      </c>
      <c r="F299" s="167">
        <v>1.02</v>
      </c>
      <c r="G299" s="167">
        <v>0.13300000000000001</v>
      </c>
      <c r="H299" s="167" t="s">
        <v>1110</v>
      </c>
      <c r="I299" s="167">
        <v>2.1890000000000001</v>
      </c>
    </row>
    <row r="300" spans="1:9">
      <c r="B300" s="167">
        <v>3</v>
      </c>
      <c r="C300" s="167">
        <v>0.751</v>
      </c>
      <c r="D300" s="167" t="s">
        <v>1110</v>
      </c>
      <c r="E300" s="167" t="s">
        <v>1110</v>
      </c>
      <c r="F300" s="167">
        <v>1.02</v>
      </c>
      <c r="G300" s="167">
        <v>0.122</v>
      </c>
      <c r="H300" s="167" t="s">
        <v>1110</v>
      </c>
      <c r="I300" s="167">
        <v>1.893</v>
      </c>
    </row>
    <row r="301" spans="1:9">
      <c r="B301" s="167">
        <v>4</v>
      </c>
      <c r="C301" s="167">
        <v>0.28699999999999998</v>
      </c>
      <c r="D301" s="167" t="s">
        <v>1110</v>
      </c>
      <c r="E301" s="167" t="s">
        <v>1110</v>
      </c>
      <c r="F301" s="167">
        <v>1.02</v>
      </c>
      <c r="G301" s="167">
        <v>9.7000000000000003E-2</v>
      </c>
      <c r="H301" s="167" t="s">
        <v>1110</v>
      </c>
      <c r="I301" s="167">
        <v>1.403</v>
      </c>
    </row>
    <row r="302" spans="1:9">
      <c r="B302" s="167">
        <v>5</v>
      </c>
      <c r="C302" s="167">
        <v>7.5999999999999998E-2</v>
      </c>
      <c r="D302" s="167" t="s">
        <v>1110</v>
      </c>
      <c r="E302" s="167" t="s">
        <v>1110</v>
      </c>
      <c r="F302" s="167">
        <v>1.02</v>
      </c>
      <c r="G302" s="167">
        <v>8.2000000000000003E-2</v>
      </c>
      <c r="H302" s="167" t="s">
        <v>1110</v>
      </c>
      <c r="I302" s="167">
        <v>1.1779999999999999</v>
      </c>
    </row>
    <row r="303" spans="1:9">
      <c r="B303" s="167">
        <v>6</v>
      </c>
      <c r="C303" s="167" t="s">
        <v>1110</v>
      </c>
      <c r="D303" s="167" t="s">
        <v>1110</v>
      </c>
      <c r="E303" s="167" t="s">
        <v>1110</v>
      </c>
      <c r="F303" s="167">
        <v>1.02</v>
      </c>
      <c r="G303" s="167">
        <v>7.3999999999999996E-2</v>
      </c>
      <c r="H303" s="167" t="s">
        <v>1110</v>
      </c>
      <c r="I303" s="167">
        <v>1.0940000000000001</v>
      </c>
    </row>
    <row r="304" spans="1:9">
      <c r="B304" s="167">
        <v>7</v>
      </c>
      <c r="C304" s="167" t="s">
        <v>1110</v>
      </c>
      <c r="D304" s="167" t="s">
        <v>1110</v>
      </c>
      <c r="E304" s="167" t="s">
        <v>1110</v>
      </c>
      <c r="F304" s="167">
        <v>1.02</v>
      </c>
      <c r="G304" s="167">
        <v>7.5999999999999998E-2</v>
      </c>
      <c r="H304" s="167" t="s">
        <v>1110</v>
      </c>
      <c r="I304" s="167">
        <v>1.0960000000000001</v>
      </c>
    </row>
    <row r="305" spans="2:9">
      <c r="B305" s="167">
        <v>8</v>
      </c>
      <c r="C305" s="167" t="s">
        <v>1110</v>
      </c>
      <c r="D305" s="167" t="s">
        <v>1110</v>
      </c>
      <c r="E305" s="167" t="s">
        <v>1110</v>
      </c>
      <c r="F305" s="167">
        <v>1.02</v>
      </c>
      <c r="G305" s="167">
        <v>8.2000000000000003E-2</v>
      </c>
      <c r="H305" s="167" t="s">
        <v>1110</v>
      </c>
      <c r="I305" s="167">
        <v>1.1020000000000001</v>
      </c>
    </row>
    <row r="306" spans="2:9">
      <c r="B306" s="167">
        <v>9</v>
      </c>
      <c r="C306" s="167">
        <v>0.11</v>
      </c>
      <c r="D306" s="167" t="s">
        <v>1110</v>
      </c>
      <c r="E306" s="167" t="s">
        <v>1110</v>
      </c>
      <c r="F306" s="167">
        <v>1.02</v>
      </c>
      <c r="G306" s="167">
        <v>9.9000000000000005E-2</v>
      </c>
      <c r="H306" s="167" t="s">
        <v>1110</v>
      </c>
      <c r="I306" s="167">
        <v>1.228</v>
      </c>
    </row>
    <row r="307" spans="2:9">
      <c r="B307" s="167">
        <v>10</v>
      </c>
      <c r="C307" s="167">
        <v>0.47899999999999998</v>
      </c>
      <c r="D307" s="167" t="s">
        <v>1110</v>
      </c>
      <c r="E307" s="167" t="s">
        <v>1110</v>
      </c>
      <c r="F307" s="167">
        <v>1.02</v>
      </c>
      <c r="G307" s="167">
        <v>0.121</v>
      </c>
      <c r="H307" s="167" t="s">
        <v>1110</v>
      </c>
      <c r="I307" s="167">
        <v>1.619</v>
      </c>
    </row>
    <row r="308" spans="2:9">
      <c r="B308" s="167">
        <v>11</v>
      </c>
      <c r="C308" s="167">
        <v>0.95199999999999996</v>
      </c>
      <c r="D308" s="167" t="s">
        <v>1110</v>
      </c>
      <c r="E308" s="167" t="s">
        <v>1110</v>
      </c>
      <c r="F308" s="167">
        <v>1.02</v>
      </c>
      <c r="G308" s="167">
        <v>0.14099999999999999</v>
      </c>
      <c r="H308" s="167" t="s">
        <v>1110</v>
      </c>
      <c r="I308" s="167">
        <v>2.113</v>
      </c>
    </row>
    <row r="309" spans="2:9">
      <c r="B309" s="167">
        <v>12</v>
      </c>
      <c r="C309" s="167">
        <v>1.3839999999999999</v>
      </c>
      <c r="D309" s="167" t="s">
        <v>1110</v>
      </c>
      <c r="E309" s="167" t="s">
        <v>1110</v>
      </c>
      <c r="F309" s="167">
        <v>1.02</v>
      </c>
      <c r="G309" s="167">
        <v>0.17599999999999999</v>
      </c>
      <c r="H309" s="167" t="s">
        <v>1110</v>
      </c>
      <c r="I309" s="167">
        <v>2.58</v>
      </c>
    </row>
    <row r="310" spans="2:9">
      <c r="B310" s="171" t="s">
        <v>1144</v>
      </c>
      <c r="C310" s="171" t="s">
        <v>1143</v>
      </c>
    </row>
    <row r="311" spans="2:9">
      <c r="C311" s="171" t="s">
        <v>1142</v>
      </c>
    </row>
    <row r="312" spans="2:9">
      <c r="C312" s="171" t="s">
        <v>1141</v>
      </c>
    </row>
    <row r="313" spans="2:9">
      <c r="C313" s="171" t="s">
        <v>1140</v>
      </c>
    </row>
    <row r="314" spans="2:9">
      <c r="B314" s="170" t="s">
        <v>1139</v>
      </c>
      <c r="C314" s="170" t="s">
        <v>1136</v>
      </c>
      <c r="D314" s="170" t="s">
        <v>1135</v>
      </c>
      <c r="E314" s="170" t="s">
        <v>1134</v>
      </c>
    </row>
    <row r="315" spans="2:9">
      <c r="B315" s="170" t="s">
        <v>1138</v>
      </c>
      <c r="C315" s="170" t="s">
        <v>1110</v>
      </c>
      <c r="D315" s="170" t="s">
        <v>1110</v>
      </c>
      <c r="E315" s="170" t="s">
        <v>774</v>
      </c>
    </row>
    <row r="316" spans="2:9">
      <c r="B316" s="164" t="s">
        <v>1137</v>
      </c>
      <c r="C316" s="164" t="s">
        <v>1136</v>
      </c>
      <c r="D316" s="164" t="s">
        <v>1135</v>
      </c>
      <c r="E316" s="164" t="s">
        <v>1134</v>
      </c>
    </row>
    <row r="317" spans="2:9">
      <c r="B317" s="170" t="s">
        <v>1133</v>
      </c>
      <c r="C317" s="170" t="s">
        <v>1110</v>
      </c>
      <c r="D317" s="170" t="s">
        <v>1110</v>
      </c>
      <c r="E317" s="170" t="s">
        <v>774</v>
      </c>
    </row>
    <row r="318" spans="2:9">
      <c r="B318" s="170" t="s">
        <v>1132</v>
      </c>
      <c r="C318" s="170" t="s">
        <v>1110</v>
      </c>
      <c r="D318" s="170" t="s">
        <v>1110</v>
      </c>
      <c r="E318" s="170" t="s">
        <v>774</v>
      </c>
    </row>
    <row r="319" spans="2:9">
      <c r="B319" s="164" t="s">
        <v>1131</v>
      </c>
      <c r="C319" s="164" t="s">
        <v>1110</v>
      </c>
      <c r="D319" s="164" t="s">
        <v>1110</v>
      </c>
      <c r="E319" s="164" t="s">
        <v>774</v>
      </c>
    </row>
    <row r="320" spans="2:9">
      <c r="B320" s="170" t="s">
        <v>1130</v>
      </c>
      <c r="C320" s="170" t="s">
        <v>1110</v>
      </c>
      <c r="D320" s="170" t="s">
        <v>1110</v>
      </c>
      <c r="E320" s="170" t="s">
        <v>774</v>
      </c>
    </row>
    <row r="321" spans="2:5">
      <c r="B321" s="170" t="s">
        <v>1129</v>
      </c>
      <c r="C321" s="170" t="s">
        <v>1110</v>
      </c>
      <c r="D321" s="170" t="s">
        <v>1110</v>
      </c>
      <c r="E321" s="170" t="s">
        <v>774</v>
      </c>
    </row>
    <row r="322" spans="2:5">
      <c r="B322" s="164" t="s">
        <v>1128</v>
      </c>
      <c r="C322" s="164" t="s">
        <v>1110</v>
      </c>
      <c r="D322" s="164" t="s">
        <v>1110</v>
      </c>
      <c r="E322" s="164" t="s">
        <v>774</v>
      </c>
    </row>
    <row r="323" spans="2:5">
      <c r="B323" s="170" t="s">
        <v>1127</v>
      </c>
      <c r="C323" s="170" t="s">
        <v>1124</v>
      </c>
      <c r="D323" s="170" t="s">
        <v>1123</v>
      </c>
      <c r="E323" s="170" t="s">
        <v>1122</v>
      </c>
    </row>
    <row r="324" spans="2:5">
      <c r="B324" s="170" t="s">
        <v>1126</v>
      </c>
      <c r="C324" s="170" t="s">
        <v>1110</v>
      </c>
      <c r="D324" s="170" t="s">
        <v>1110</v>
      </c>
      <c r="E324" s="170" t="s">
        <v>774</v>
      </c>
    </row>
    <row r="325" spans="2:5">
      <c r="B325" s="164" t="s">
        <v>1125</v>
      </c>
      <c r="C325" s="164" t="s">
        <v>1124</v>
      </c>
      <c r="D325" s="164" t="s">
        <v>1123</v>
      </c>
      <c r="E325" s="164" t="s">
        <v>1122</v>
      </c>
    </row>
    <row r="326" spans="2:5">
      <c r="B326" s="170" t="s">
        <v>1121</v>
      </c>
      <c r="C326" s="170" t="s">
        <v>1119</v>
      </c>
      <c r="D326" s="170" t="s">
        <v>1118</v>
      </c>
      <c r="E326" s="170" t="s">
        <v>1117</v>
      </c>
    </row>
    <row r="327" spans="2:5">
      <c r="B327" s="164" t="s">
        <v>1120</v>
      </c>
      <c r="C327" s="164" t="s">
        <v>1119</v>
      </c>
      <c r="D327" s="164" t="s">
        <v>1118</v>
      </c>
      <c r="E327" s="164" t="s">
        <v>1117</v>
      </c>
    </row>
    <row r="328" spans="2:5">
      <c r="B328" s="170" t="s">
        <v>1116</v>
      </c>
      <c r="C328" s="170" t="s">
        <v>1110</v>
      </c>
      <c r="D328" s="170" t="s">
        <v>1110</v>
      </c>
      <c r="E328" s="170" t="s">
        <v>774</v>
      </c>
    </row>
    <row r="329" spans="2:5">
      <c r="B329" s="170" t="s">
        <v>1115</v>
      </c>
      <c r="C329" s="170" t="s">
        <v>1110</v>
      </c>
      <c r="D329" s="170" t="s">
        <v>1110</v>
      </c>
      <c r="E329" s="170" t="s">
        <v>774</v>
      </c>
    </row>
    <row r="330" spans="2:5">
      <c r="B330" s="171" t="s">
        <v>1114</v>
      </c>
    </row>
    <row r="331" spans="2:5">
      <c r="B331" s="170" t="s">
        <v>1113</v>
      </c>
      <c r="C331" s="170" t="s">
        <v>1110</v>
      </c>
      <c r="D331" s="170" t="s">
        <v>1110</v>
      </c>
      <c r="E331" s="170" t="s">
        <v>774</v>
      </c>
    </row>
    <row r="332" spans="2:5">
      <c r="B332" s="170" t="s">
        <v>1112</v>
      </c>
      <c r="C332" s="170" t="s">
        <v>1110</v>
      </c>
      <c r="D332" s="170" t="s">
        <v>1110</v>
      </c>
      <c r="E332" s="170" t="s">
        <v>774</v>
      </c>
    </row>
    <row r="333" spans="2:5">
      <c r="B333" s="164" t="s">
        <v>1111</v>
      </c>
      <c r="C333" s="164" t="s">
        <v>1110</v>
      </c>
      <c r="D333" s="164" t="s">
        <v>1110</v>
      </c>
      <c r="E333" s="164" t="s">
        <v>774</v>
      </c>
    </row>
    <row r="334" spans="2:5">
      <c r="B334" s="169" t="s">
        <v>1109</v>
      </c>
      <c r="C334" s="169" t="s">
        <v>1108</v>
      </c>
      <c r="D334" s="169" t="s">
        <v>1107</v>
      </c>
      <c r="E334" s="169" t="s">
        <v>1106</v>
      </c>
    </row>
    <row r="335" spans="2:5">
      <c r="B335" s="168" t="s">
        <v>1105</v>
      </c>
    </row>
    <row r="336" spans="2:5">
      <c r="B336" s="167" t="s">
        <v>1104</v>
      </c>
      <c r="C336" s="167" t="s">
        <v>1103</v>
      </c>
    </row>
    <row r="337" spans="1:13">
      <c r="B337" s="167" t="s">
        <v>1102</v>
      </c>
      <c r="C337" s="167" t="s">
        <v>1101</v>
      </c>
    </row>
    <row r="338" spans="1:13">
      <c r="B338" s="167" t="s">
        <v>1100</v>
      </c>
      <c r="C338" s="167" t="s">
        <v>1099</v>
      </c>
    </row>
    <row r="339" spans="1:13">
      <c r="B339" s="167" t="s">
        <v>1098</v>
      </c>
      <c r="C339" s="167" t="s">
        <v>1097</v>
      </c>
    </row>
    <row r="340" spans="1:13">
      <c r="B340" s="166" t="s">
        <v>1096</v>
      </c>
      <c r="C340" s="166" t="s">
        <v>1095</v>
      </c>
    </row>
    <row r="341" spans="1:13">
      <c r="B341" s="165" t="s">
        <v>1094</v>
      </c>
    </row>
    <row r="342" spans="1:13">
      <c r="A342" s="165"/>
      <c r="B342" s="164" t="s">
        <v>1093</v>
      </c>
    </row>
    <row r="343" spans="1:13">
      <c r="A343" s="192" t="s">
        <v>1411</v>
      </c>
    </row>
    <row r="344" spans="1:13">
      <c r="A344" s="165"/>
    </row>
    <row r="345" spans="1:13">
      <c r="A345" s="146" t="s">
        <v>421</v>
      </c>
    </row>
    <row r="346" spans="1:13">
      <c r="A346" s="164"/>
    </row>
    <row r="347" spans="1:13" ht="15.75">
      <c r="A347" s="163" t="s">
        <v>1394</v>
      </c>
      <c r="E347" s="141" t="s">
        <v>1407</v>
      </c>
      <c r="I347" s="141" t="s">
        <v>1408</v>
      </c>
    </row>
    <row r="348" spans="1:13">
      <c r="G348" s="141">
        <f>906/2+1356/2</f>
        <v>1131</v>
      </c>
      <c r="H348" s="141">
        <v>2635</v>
      </c>
      <c r="I348" s="141">
        <f>H348-G348</f>
        <v>1504</v>
      </c>
      <c r="J348" s="141">
        <v>6</v>
      </c>
      <c r="K348" s="141">
        <f>J348/I348*100</f>
        <v>0.39893617021276595</v>
      </c>
    </row>
    <row r="349" spans="1:13">
      <c r="A349" s="141" t="s">
        <v>766</v>
      </c>
      <c r="B349" s="141" t="s">
        <v>1395</v>
      </c>
      <c r="C349" s="141" t="s">
        <v>1396</v>
      </c>
      <c r="J349" s="141">
        <v>10</v>
      </c>
      <c r="K349" s="141">
        <f>J349/I348*100</f>
        <v>0.66489361702127658</v>
      </c>
    </row>
    <row r="350" spans="1:13">
      <c r="A350" s="141" t="s">
        <v>1397</v>
      </c>
      <c r="B350" s="141" t="s">
        <v>1398</v>
      </c>
      <c r="C350" s="141" t="s">
        <v>1397</v>
      </c>
      <c r="D350" s="141" t="s">
        <v>1398</v>
      </c>
    </row>
    <row r="351" spans="1:13">
      <c r="A351" s="141" t="s">
        <v>1399</v>
      </c>
      <c r="B351" s="141" t="s">
        <v>1400</v>
      </c>
      <c r="C351" s="141" t="s">
        <v>1401</v>
      </c>
      <c r="D351" s="141" t="s">
        <v>1399</v>
      </c>
      <c r="E351" s="141" t="s">
        <v>1400</v>
      </c>
      <c r="F351" s="141" t="s">
        <v>1401</v>
      </c>
      <c r="I351" s="141" t="s">
        <v>996</v>
      </c>
      <c r="J351" s="141">
        <v>180</v>
      </c>
      <c r="K351" s="141">
        <v>906</v>
      </c>
      <c r="L351" s="141">
        <v>1356</v>
      </c>
      <c r="M351" s="141">
        <v>2635</v>
      </c>
    </row>
    <row r="352" spans="1:13">
      <c r="I352" s="141" t="s">
        <v>1412</v>
      </c>
      <c r="J352" s="141">
        <v>0</v>
      </c>
      <c r="K352" s="141">
        <f>K354-J354</f>
        <v>-2.7525000000000013</v>
      </c>
      <c r="L352" s="141">
        <f>L354-J354</f>
        <v>-4.0124999999999984</v>
      </c>
      <c r="M352" s="141">
        <f>M354-J354</f>
        <v>-11.217499999999999</v>
      </c>
    </row>
    <row r="353" spans="1:14">
      <c r="H353" s="141">
        <v>3.5</v>
      </c>
      <c r="I353" s="144">
        <v>-6.4999999999999997E-3</v>
      </c>
      <c r="J353" s="141">
        <f>(J351-180)*$I353+$H353</f>
        <v>3.5</v>
      </c>
      <c r="K353" s="141">
        <f t="shared" ref="K353:M353" si="25">(K351-180)*$I353+$H353</f>
        <v>-1.2189999999999994</v>
      </c>
      <c r="L353" s="141">
        <f t="shared" si="25"/>
        <v>-4.1439999999999992</v>
      </c>
      <c r="M353" s="141">
        <f t="shared" si="25"/>
        <v>-12.4575</v>
      </c>
    </row>
    <row r="354" spans="1:14">
      <c r="J354" s="141">
        <f>SUM(J356:J395)/40</f>
        <v>9.2174999999999994</v>
      </c>
      <c r="K354" s="141">
        <f>SUM(K356:K395)/40</f>
        <v>6.4649999999999981</v>
      </c>
      <c r="L354" s="141">
        <f>SUM(L356:L395)/40</f>
        <v>5.205000000000001</v>
      </c>
      <c r="M354" s="141">
        <f>SUM(M356:M395)/40</f>
        <v>-2</v>
      </c>
    </row>
    <row r="355" spans="1:14">
      <c r="A355" s="141" t="s">
        <v>1404</v>
      </c>
      <c r="B355" s="141" t="s">
        <v>1405</v>
      </c>
      <c r="C355" s="141" t="s">
        <v>1406</v>
      </c>
      <c r="D355" s="141" t="s">
        <v>312</v>
      </c>
      <c r="E355" s="141" t="s">
        <v>1405</v>
      </c>
      <c r="F355" s="141" t="s">
        <v>1406</v>
      </c>
      <c r="G355" s="141" t="s">
        <v>312</v>
      </c>
      <c r="J355" s="141" t="s">
        <v>1410</v>
      </c>
      <c r="K355" s="141" t="s">
        <v>1409</v>
      </c>
      <c r="L355" s="141" t="s">
        <v>1413</v>
      </c>
      <c r="M355" s="141" t="s">
        <v>1414</v>
      </c>
      <c r="N355" s="141" t="s">
        <v>1415</v>
      </c>
    </row>
    <row r="356" spans="1:14">
      <c r="A356" s="34">
        <v>42979</v>
      </c>
      <c r="B356" s="141">
        <v>243.9</v>
      </c>
      <c r="C356" s="141">
        <v>26</v>
      </c>
      <c r="D356" s="141">
        <v>10</v>
      </c>
      <c r="E356" s="141">
        <v>18.5</v>
      </c>
      <c r="F356" s="141">
        <v>3</v>
      </c>
      <c r="G356" s="141">
        <v>14.8</v>
      </c>
      <c r="I356" s="17">
        <v>42979</v>
      </c>
      <c r="J356" s="141">
        <v>14.8</v>
      </c>
      <c r="K356" s="141">
        <v>10</v>
      </c>
      <c r="L356" s="141">
        <v>8.6</v>
      </c>
      <c r="M356" s="141">
        <v>0.7</v>
      </c>
      <c r="N356" s="141">
        <f>M356-L356/2-K356/2</f>
        <v>-8.6</v>
      </c>
    </row>
    <row r="357" spans="1:14">
      <c r="A357" s="34">
        <v>43009</v>
      </c>
      <c r="B357" s="141">
        <v>401.7</v>
      </c>
      <c r="C357" s="141">
        <v>31</v>
      </c>
      <c r="D357" s="141">
        <v>6</v>
      </c>
      <c r="E357" s="141">
        <v>288.3</v>
      </c>
      <c r="F357" s="141">
        <v>31</v>
      </c>
      <c r="G357" s="141">
        <v>9.6999999999999993</v>
      </c>
      <c r="I357" s="17">
        <v>43009</v>
      </c>
      <c r="J357" s="141">
        <v>9.6999999999999993</v>
      </c>
      <c r="K357" s="141">
        <v>6</v>
      </c>
      <c r="L357" s="141">
        <v>4.7</v>
      </c>
      <c r="M357" s="141">
        <v>-2.4</v>
      </c>
      <c r="N357" s="141">
        <f t="shared" ref="N357:N395" si="26">M357-L357/2-K357/2</f>
        <v>-7.75</v>
      </c>
    </row>
    <row r="358" spans="1:14">
      <c r="A358" s="34">
        <v>43040</v>
      </c>
      <c r="B358" s="141">
        <v>555.6</v>
      </c>
      <c r="C358" s="141">
        <v>30</v>
      </c>
      <c r="D358" s="141">
        <v>0.5</v>
      </c>
      <c r="E358" s="141">
        <v>437.7</v>
      </c>
      <c r="F358" s="141">
        <v>30</v>
      </c>
      <c r="G358" s="141">
        <v>4.4000000000000004</v>
      </c>
      <c r="I358" s="17">
        <v>43040</v>
      </c>
      <c r="J358" s="141">
        <v>4.4000000000000004</v>
      </c>
      <c r="K358" s="141">
        <v>0.5</v>
      </c>
      <c r="L358" s="141">
        <v>-0.2</v>
      </c>
      <c r="M358" s="141">
        <v>-6</v>
      </c>
      <c r="N358" s="141">
        <f t="shared" si="26"/>
        <v>-6.15</v>
      </c>
    </row>
    <row r="359" spans="1:14">
      <c r="A359" s="34">
        <v>43070</v>
      </c>
      <c r="B359" s="141">
        <v>683.4</v>
      </c>
      <c r="C359" s="141">
        <v>31</v>
      </c>
      <c r="D359" s="141">
        <v>-3</v>
      </c>
      <c r="E359" s="141">
        <v>560.6</v>
      </c>
      <c r="F359" s="141">
        <v>31</v>
      </c>
      <c r="G359" s="141">
        <v>0.9</v>
      </c>
      <c r="I359" s="17">
        <v>43070</v>
      </c>
      <c r="J359" s="141">
        <v>0.9</v>
      </c>
      <c r="K359" s="141">
        <v>-3</v>
      </c>
      <c r="L359" s="141">
        <v>-4.0999999999999996</v>
      </c>
      <c r="M359" s="141">
        <v>-10.199999999999999</v>
      </c>
      <c r="N359" s="141">
        <f t="shared" si="26"/>
        <v>-6.6499999999999986</v>
      </c>
    </row>
    <row r="360" spans="1:14">
      <c r="A360" s="34">
        <v>43101</v>
      </c>
      <c r="B360" s="141">
        <v>655.5</v>
      </c>
      <c r="C360" s="141">
        <v>31</v>
      </c>
      <c r="D360" s="141">
        <v>-2.1</v>
      </c>
      <c r="E360" s="141">
        <v>616.29999999999995</v>
      </c>
      <c r="F360" s="141">
        <v>31</v>
      </c>
      <c r="G360" s="141">
        <v>-0.9</v>
      </c>
      <c r="I360" s="17">
        <v>43101</v>
      </c>
      <c r="J360" s="141">
        <v>-0.9</v>
      </c>
      <c r="K360" s="141">
        <v>-2.1</v>
      </c>
      <c r="L360" s="141">
        <v>-3</v>
      </c>
      <c r="M360" s="141">
        <v>-8.6999999999999993</v>
      </c>
      <c r="N360" s="141">
        <f t="shared" si="26"/>
        <v>-6.1499999999999995</v>
      </c>
    </row>
    <row r="361" spans="1:14">
      <c r="A361" s="34">
        <v>43132</v>
      </c>
      <c r="B361" s="141">
        <v>703.2</v>
      </c>
      <c r="C361" s="141">
        <v>28</v>
      </c>
      <c r="D361" s="141">
        <v>-6.1</v>
      </c>
      <c r="E361" s="141">
        <v>527.29999999999995</v>
      </c>
      <c r="F361" s="141">
        <v>29</v>
      </c>
      <c r="G361" s="141">
        <v>0.8</v>
      </c>
      <c r="I361" s="17">
        <v>43132</v>
      </c>
      <c r="J361" s="141">
        <v>0.8</v>
      </c>
      <c r="K361" s="141">
        <v>-6.1</v>
      </c>
      <c r="L361" s="141">
        <v>-8</v>
      </c>
      <c r="M361" s="141">
        <v>-13.9</v>
      </c>
      <c r="N361" s="141">
        <f t="shared" si="26"/>
        <v>-6.8500000000000005</v>
      </c>
    </row>
    <row r="362" spans="1:14">
      <c r="A362" s="34">
        <v>43160</v>
      </c>
      <c r="B362" s="141">
        <v>660.7</v>
      </c>
      <c r="C362" s="141">
        <v>31</v>
      </c>
      <c r="D362" s="141">
        <v>-2.2999999999999998</v>
      </c>
      <c r="E362" s="141">
        <v>446.7</v>
      </c>
      <c r="F362" s="141">
        <v>31</v>
      </c>
      <c r="G362" s="141">
        <v>4.5999999999999996</v>
      </c>
      <c r="I362" s="17">
        <v>43160</v>
      </c>
      <c r="J362" s="141">
        <v>4.5999999999999996</v>
      </c>
      <c r="K362" s="141">
        <v>-2.2999999999999998</v>
      </c>
      <c r="L362" s="141">
        <v>-3.7</v>
      </c>
      <c r="M362" s="141">
        <v>-8.5</v>
      </c>
      <c r="N362" s="141">
        <f t="shared" si="26"/>
        <v>-5.5</v>
      </c>
    </row>
    <row r="363" spans="1:14">
      <c r="A363" s="34">
        <v>43191</v>
      </c>
      <c r="B363" s="141">
        <v>260</v>
      </c>
      <c r="C363" s="141">
        <v>29</v>
      </c>
      <c r="D363" s="141">
        <v>10.1</v>
      </c>
      <c r="E363" s="141">
        <v>292.60000000000002</v>
      </c>
      <c r="F363" s="141">
        <v>30</v>
      </c>
      <c r="G363" s="141">
        <v>9.1999999999999993</v>
      </c>
      <c r="I363" s="17">
        <v>43191</v>
      </c>
      <c r="J363" s="141">
        <v>9.1999999999999993</v>
      </c>
      <c r="K363" s="141">
        <v>10.1</v>
      </c>
      <c r="L363" s="141">
        <v>9</v>
      </c>
      <c r="M363" s="141">
        <v>-0.1</v>
      </c>
      <c r="N363" s="141">
        <f t="shared" si="26"/>
        <v>-9.6499999999999986</v>
      </c>
    </row>
    <row r="364" spans="1:14">
      <c r="A364" s="34">
        <v>43221</v>
      </c>
      <c r="B364" s="141">
        <v>93.8</v>
      </c>
      <c r="C364" s="141">
        <v>13</v>
      </c>
      <c r="D364" s="141">
        <v>13.6</v>
      </c>
      <c r="E364" s="141">
        <v>49.1</v>
      </c>
      <c r="F364" s="141">
        <v>8</v>
      </c>
      <c r="G364" s="141">
        <v>14.2</v>
      </c>
      <c r="I364" s="17">
        <v>43221</v>
      </c>
      <c r="J364" s="141">
        <v>14.2</v>
      </c>
      <c r="K364" s="141">
        <v>13.6</v>
      </c>
      <c r="L364" s="141">
        <v>11.7</v>
      </c>
      <c r="M364" s="141">
        <v>2.6</v>
      </c>
      <c r="N364" s="141">
        <f t="shared" si="26"/>
        <v>-10.049999999999999</v>
      </c>
    </row>
    <row r="365" spans="1:14">
      <c r="A365" s="34">
        <v>43252</v>
      </c>
      <c r="B365" s="141">
        <v>0</v>
      </c>
      <c r="C365" s="141">
        <v>0</v>
      </c>
      <c r="D365" s="141">
        <v>14.8</v>
      </c>
      <c r="E365" s="141">
        <v>0</v>
      </c>
      <c r="F365" s="141">
        <v>0</v>
      </c>
      <c r="G365" s="141">
        <v>17.5</v>
      </c>
      <c r="I365" s="17">
        <v>43252</v>
      </c>
      <c r="J365" s="141">
        <v>17.5</v>
      </c>
      <c r="K365" s="141">
        <v>14.8</v>
      </c>
      <c r="L365" s="141">
        <v>12.9</v>
      </c>
      <c r="M365" s="141">
        <v>4.2</v>
      </c>
      <c r="N365" s="141">
        <f t="shared" si="26"/>
        <v>-9.65</v>
      </c>
    </row>
    <row r="366" spans="1:14">
      <c r="A366" s="34">
        <v>43282</v>
      </c>
      <c r="B366" s="141">
        <v>0</v>
      </c>
      <c r="C366" s="141">
        <v>0</v>
      </c>
      <c r="D366" s="141">
        <v>16.600000000000001</v>
      </c>
      <c r="E366" s="141">
        <v>0</v>
      </c>
      <c r="F366" s="141">
        <v>0</v>
      </c>
      <c r="G366" s="141">
        <v>19.100000000000001</v>
      </c>
      <c r="I366" s="17">
        <v>43282</v>
      </c>
      <c r="J366" s="141">
        <v>19.100000000000001</v>
      </c>
      <c r="K366" s="141">
        <v>16.600000000000001</v>
      </c>
      <c r="L366" s="141">
        <v>14.3</v>
      </c>
      <c r="M366" s="141">
        <v>4.9000000000000004</v>
      </c>
      <c r="N366" s="141">
        <f t="shared" si="26"/>
        <v>-10.55</v>
      </c>
    </row>
    <row r="367" spans="1:14">
      <c r="A367" s="34">
        <v>43313</v>
      </c>
      <c r="B367" s="141">
        <v>0</v>
      </c>
      <c r="C367" s="141">
        <v>0</v>
      </c>
      <c r="D367" s="141">
        <v>17.5</v>
      </c>
      <c r="E367" s="141">
        <v>0</v>
      </c>
      <c r="F367" s="141">
        <v>0</v>
      </c>
      <c r="G367" s="141">
        <v>18.5</v>
      </c>
      <c r="I367" s="17">
        <v>43313</v>
      </c>
      <c r="J367" s="141">
        <v>18.5</v>
      </c>
      <c r="K367" s="141">
        <v>17.5</v>
      </c>
      <c r="L367" s="141">
        <v>15.5</v>
      </c>
      <c r="M367" s="141">
        <v>7.8</v>
      </c>
      <c r="N367" s="141">
        <f t="shared" si="26"/>
        <v>-8.6999999999999993</v>
      </c>
    </row>
    <row r="368" spans="1:14">
      <c r="A368" s="34">
        <v>43344</v>
      </c>
      <c r="B368" s="141">
        <v>92.4</v>
      </c>
      <c r="C368" s="141">
        <v>7</v>
      </c>
      <c r="D368" s="141">
        <v>12.3</v>
      </c>
      <c r="E368" s="141">
        <v>18.5</v>
      </c>
      <c r="F368" s="141">
        <v>3</v>
      </c>
      <c r="G368" s="141">
        <v>14.8</v>
      </c>
      <c r="I368" s="17">
        <v>43344</v>
      </c>
      <c r="J368" s="141">
        <v>14.8</v>
      </c>
      <c r="K368" s="141">
        <v>12.3</v>
      </c>
      <c r="L368" s="141">
        <v>10.7</v>
      </c>
      <c r="M368" s="141">
        <v>3.1</v>
      </c>
      <c r="N368" s="141">
        <f t="shared" si="26"/>
        <v>-8.4</v>
      </c>
    </row>
    <row r="369" spans="1:14">
      <c r="A369" s="34">
        <v>43374</v>
      </c>
      <c r="B369" s="141">
        <v>328.1</v>
      </c>
      <c r="C369" s="141">
        <v>31</v>
      </c>
      <c r="D369" s="141">
        <v>8.4</v>
      </c>
      <c r="E369" s="141">
        <v>288.3</v>
      </c>
      <c r="F369" s="141">
        <v>31</v>
      </c>
      <c r="G369" s="141">
        <v>9.6999999999999993</v>
      </c>
      <c r="I369" s="17">
        <v>43374</v>
      </c>
      <c r="J369" s="141">
        <v>9.6999999999999993</v>
      </c>
      <c r="K369" s="141">
        <v>8.4</v>
      </c>
      <c r="L369" s="141">
        <v>7</v>
      </c>
      <c r="M369" s="141">
        <v>0.2</v>
      </c>
      <c r="N369" s="141">
        <f t="shared" si="26"/>
        <v>-7.5</v>
      </c>
    </row>
    <row r="370" spans="1:14">
      <c r="A370" s="34">
        <v>43405</v>
      </c>
      <c r="B370" s="141">
        <v>467.4</v>
      </c>
      <c r="C370" s="141">
        <v>30</v>
      </c>
      <c r="D370" s="141">
        <v>3.4</v>
      </c>
      <c r="E370" s="141">
        <v>437.7</v>
      </c>
      <c r="F370" s="141">
        <v>30</v>
      </c>
      <c r="G370" s="141">
        <v>4.4000000000000004</v>
      </c>
      <c r="I370" s="17">
        <v>43405</v>
      </c>
      <c r="J370" s="141">
        <v>4.4000000000000004</v>
      </c>
      <c r="K370" s="141">
        <v>3.4</v>
      </c>
      <c r="L370" s="141">
        <v>2.7</v>
      </c>
      <c r="M370" s="141">
        <v>-2.7</v>
      </c>
      <c r="N370" s="141">
        <f t="shared" si="26"/>
        <v>-5.7500000000000009</v>
      </c>
    </row>
    <row r="371" spans="1:14">
      <c r="A371" s="34">
        <v>43435</v>
      </c>
      <c r="B371" s="141">
        <v>696.5</v>
      </c>
      <c r="C371" s="141">
        <v>31</v>
      </c>
      <c r="D371" s="141">
        <v>-3.5</v>
      </c>
      <c r="E371" s="141">
        <v>560.6</v>
      </c>
      <c r="F371" s="141">
        <v>31</v>
      </c>
      <c r="G371" s="141">
        <v>0.9</v>
      </c>
      <c r="I371" s="17">
        <v>43435</v>
      </c>
      <c r="J371" s="141">
        <v>0.9</v>
      </c>
      <c r="K371" s="141">
        <v>-3.5</v>
      </c>
      <c r="L371" s="141">
        <v>-4</v>
      </c>
      <c r="M371" s="141">
        <v>-9.8000000000000007</v>
      </c>
      <c r="N371" s="141">
        <f t="shared" si="26"/>
        <v>-6.0500000000000007</v>
      </c>
    </row>
    <row r="372" spans="1:14">
      <c r="A372" s="34">
        <v>43466</v>
      </c>
      <c r="B372" s="141">
        <v>773.7</v>
      </c>
      <c r="C372" s="141">
        <v>31</v>
      </c>
      <c r="D372" s="141">
        <v>-6</v>
      </c>
      <c r="E372" s="141">
        <v>616.29999999999995</v>
      </c>
      <c r="F372" s="141">
        <v>31</v>
      </c>
      <c r="G372" s="141">
        <v>-0.9</v>
      </c>
      <c r="I372" s="17">
        <v>43466</v>
      </c>
      <c r="J372" s="141">
        <v>-0.9</v>
      </c>
      <c r="K372" s="141">
        <v>-6</v>
      </c>
      <c r="L372" s="141">
        <v>-7.2</v>
      </c>
      <c r="M372" s="141">
        <v>-13.4</v>
      </c>
      <c r="N372" s="141">
        <f t="shared" si="26"/>
        <v>-6.8000000000000007</v>
      </c>
    </row>
    <row r="373" spans="1:14">
      <c r="A373" s="34">
        <v>43497</v>
      </c>
      <c r="B373" s="141">
        <v>551</v>
      </c>
      <c r="C373" s="141">
        <v>28</v>
      </c>
      <c r="D373" s="141">
        <v>-0.7</v>
      </c>
      <c r="E373" s="141">
        <v>527.29999999999995</v>
      </c>
      <c r="F373" s="141">
        <v>29</v>
      </c>
      <c r="G373" s="141">
        <v>0.8</v>
      </c>
      <c r="I373" s="17">
        <v>43497</v>
      </c>
      <c r="J373" s="141">
        <v>0.8</v>
      </c>
      <c r="K373" s="141">
        <v>-0.7</v>
      </c>
      <c r="L373" s="141">
        <v>-1.4</v>
      </c>
      <c r="M373" s="141">
        <v>-7.6</v>
      </c>
      <c r="N373" s="141">
        <f t="shared" si="26"/>
        <v>-6.55</v>
      </c>
    </row>
    <row r="374" spans="1:14">
      <c r="A374" s="34">
        <v>43525</v>
      </c>
      <c r="B374" s="141">
        <v>507.8</v>
      </c>
      <c r="C374" s="141">
        <v>31</v>
      </c>
      <c r="D374" s="141">
        <v>2.6</v>
      </c>
      <c r="E374" s="141">
        <v>446.7</v>
      </c>
      <c r="F374" s="141">
        <v>31</v>
      </c>
      <c r="G374" s="141">
        <v>4.5999999999999996</v>
      </c>
      <c r="I374" s="17">
        <v>43525</v>
      </c>
      <c r="J374" s="141">
        <v>4.5999999999999996</v>
      </c>
      <c r="K374" s="141">
        <v>2.6</v>
      </c>
      <c r="L374" s="141">
        <v>0.4</v>
      </c>
      <c r="M374" s="141">
        <v>-7.8</v>
      </c>
      <c r="N374" s="141">
        <f t="shared" si="26"/>
        <v>-9.3000000000000007</v>
      </c>
    </row>
    <row r="375" spans="1:14">
      <c r="A375" s="34">
        <v>43556</v>
      </c>
      <c r="B375" s="141">
        <v>370.4</v>
      </c>
      <c r="C375" s="141">
        <v>30</v>
      </c>
      <c r="D375" s="141">
        <v>6.7</v>
      </c>
      <c r="E375" s="141">
        <v>292.60000000000002</v>
      </c>
      <c r="F375" s="141">
        <v>30</v>
      </c>
      <c r="G375" s="141">
        <v>9.1999999999999993</v>
      </c>
      <c r="I375" s="17">
        <v>43556</v>
      </c>
      <c r="J375" s="141">
        <v>9.1999999999999993</v>
      </c>
      <c r="K375" s="141">
        <v>6.7</v>
      </c>
      <c r="L375" s="141">
        <v>4.7</v>
      </c>
      <c r="M375" s="141">
        <v>-3.4</v>
      </c>
      <c r="N375" s="141">
        <f t="shared" si="26"/>
        <v>-9.1</v>
      </c>
    </row>
    <row r="376" spans="1:14">
      <c r="A376" s="34">
        <v>43586</v>
      </c>
      <c r="B376" s="141">
        <v>338.1</v>
      </c>
      <c r="C376" s="141">
        <v>31</v>
      </c>
      <c r="D376" s="141">
        <v>8.1</v>
      </c>
      <c r="E376" s="141">
        <v>49.1</v>
      </c>
      <c r="F376" s="141">
        <v>8</v>
      </c>
      <c r="G376" s="141">
        <v>14.2</v>
      </c>
      <c r="I376" s="17">
        <v>43586</v>
      </c>
      <c r="J376" s="141">
        <v>14.2</v>
      </c>
      <c r="K376" s="141">
        <v>8.1</v>
      </c>
      <c r="L376" s="141">
        <v>6.3</v>
      </c>
      <c r="M376" s="141">
        <v>-1.5</v>
      </c>
      <c r="N376" s="141">
        <f t="shared" si="26"/>
        <v>-8.6999999999999993</v>
      </c>
    </row>
    <row r="377" spans="1:14">
      <c r="A377" s="34">
        <v>43617</v>
      </c>
      <c r="B377" s="141">
        <v>0</v>
      </c>
      <c r="C377" s="141">
        <v>0</v>
      </c>
      <c r="D377" s="141">
        <v>17.8</v>
      </c>
      <c r="E377" s="141">
        <v>0</v>
      </c>
      <c r="F377" s="141">
        <v>0</v>
      </c>
      <c r="G377" s="141">
        <v>17.5</v>
      </c>
      <c r="I377" s="17">
        <v>43617</v>
      </c>
      <c r="J377" s="141">
        <v>17.5</v>
      </c>
      <c r="K377" s="141">
        <v>17.8</v>
      </c>
      <c r="L377" s="141">
        <v>16.399999999999999</v>
      </c>
      <c r="M377" s="141">
        <v>7.3</v>
      </c>
      <c r="N377" s="141">
        <f t="shared" si="26"/>
        <v>-9.8000000000000007</v>
      </c>
    </row>
    <row r="378" spans="1:14">
      <c r="A378" s="34">
        <v>43647</v>
      </c>
      <c r="B378" s="141">
        <v>0</v>
      </c>
      <c r="C378" s="141">
        <v>0</v>
      </c>
      <c r="D378" s="141">
        <v>15.5</v>
      </c>
      <c r="E378" s="141">
        <v>0</v>
      </c>
      <c r="F378" s="141">
        <v>0</v>
      </c>
      <c r="G378" s="141">
        <v>19.100000000000001</v>
      </c>
      <c r="I378" s="17">
        <v>43647</v>
      </c>
      <c r="J378" s="141">
        <v>19.100000000000001</v>
      </c>
      <c r="K378" s="141">
        <v>15.5</v>
      </c>
      <c r="L378" s="141">
        <v>13.9</v>
      </c>
      <c r="M378" s="141">
        <v>4.2</v>
      </c>
      <c r="N378" s="141">
        <f t="shared" si="26"/>
        <v>-10.5</v>
      </c>
    </row>
    <row r="379" spans="1:14">
      <c r="A379" s="34">
        <v>43678</v>
      </c>
      <c r="B379" s="141">
        <v>0</v>
      </c>
      <c r="C379" s="141">
        <v>0</v>
      </c>
      <c r="D379" s="141">
        <v>16.600000000000001</v>
      </c>
      <c r="E379" s="141">
        <v>0</v>
      </c>
      <c r="F379" s="141">
        <v>0</v>
      </c>
      <c r="G379" s="141">
        <v>18.5</v>
      </c>
      <c r="I379" s="17">
        <v>43678</v>
      </c>
      <c r="J379" s="141">
        <v>18.5</v>
      </c>
      <c r="K379" s="141">
        <v>16.600000000000001</v>
      </c>
      <c r="L379" s="141">
        <v>15.7</v>
      </c>
      <c r="M379" s="141">
        <v>7.1</v>
      </c>
      <c r="N379" s="141">
        <f t="shared" si="26"/>
        <v>-9.0500000000000007</v>
      </c>
    </row>
    <row r="380" spans="1:14">
      <c r="A380" s="34">
        <v>43709</v>
      </c>
      <c r="B380" s="141">
        <v>210.9</v>
      </c>
      <c r="C380" s="141">
        <v>25</v>
      </c>
      <c r="D380" s="141">
        <v>11</v>
      </c>
      <c r="E380" s="141">
        <v>18.5</v>
      </c>
      <c r="F380" s="141">
        <v>3</v>
      </c>
      <c r="G380" s="141">
        <v>14.8</v>
      </c>
      <c r="I380" s="17">
        <v>43709</v>
      </c>
      <c r="J380" s="141">
        <v>14.8</v>
      </c>
      <c r="K380" s="141">
        <v>11</v>
      </c>
      <c r="L380" s="141">
        <v>9.6</v>
      </c>
      <c r="M380" s="141">
        <v>1.9</v>
      </c>
      <c r="N380" s="141">
        <f t="shared" si="26"/>
        <v>-8.4</v>
      </c>
    </row>
    <row r="381" spans="1:14">
      <c r="A381" s="34">
        <v>43739</v>
      </c>
      <c r="B381" s="141">
        <v>346.7</v>
      </c>
      <c r="C381" s="141">
        <v>31</v>
      </c>
      <c r="D381" s="141">
        <v>7.8</v>
      </c>
      <c r="E381" s="141">
        <v>288.3</v>
      </c>
      <c r="F381" s="141">
        <v>31</v>
      </c>
      <c r="G381" s="141">
        <v>9.6999999999999993</v>
      </c>
      <c r="I381" s="17">
        <v>43739</v>
      </c>
      <c r="J381" s="141">
        <v>9.6999999999999993</v>
      </c>
      <c r="K381" s="141">
        <v>7.8</v>
      </c>
      <c r="L381" s="141">
        <v>7.3</v>
      </c>
      <c r="M381" s="141">
        <v>1.5</v>
      </c>
      <c r="N381" s="141">
        <f t="shared" si="26"/>
        <v>-6.05</v>
      </c>
    </row>
    <row r="382" spans="1:14">
      <c r="A382" s="34">
        <v>43770</v>
      </c>
      <c r="B382" s="141">
        <v>429.9</v>
      </c>
      <c r="C382" s="141">
        <v>30</v>
      </c>
      <c r="D382" s="141">
        <v>4.7</v>
      </c>
      <c r="E382" s="141">
        <v>437.7</v>
      </c>
      <c r="F382" s="141">
        <v>30</v>
      </c>
      <c r="G382" s="141">
        <v>4.4000000000000004</v>
      </c>
      <c r="I382" s="17">
        <v>43770</v>
      </c>
      <c r="J382" s="141">
        <v>4.4000000000000004</v>
      </c>
      <c r="K382" s="141">
        <v>4.7</v>
      </c>
      <c r="L382" s="141">
        <v>3.5</v>
      </c>
      <c r="M382" s="141">
        <v>-3.6</v>
      </c>
      <c r="N382" s="141">
        <f t="shared" si="26"/>
        <v>-7.6999999999999993</v>
      </c>
    </row>
    <row r="383" spans="1:14">
      <c r="A383" s="34">
        <v>43800</v>
      </c>
      <c r="B383" s="141">
        <v>626.29999999999995</v>
      </c>
      <c r="C383" s="141">
        <v>31</v>
      </c>
      <c r="D383" s="141">
        <v>-1.2</v>
      </c>
      <c r="E383" s="141">
        <v>560.6</v>
      </c>
      <c r="F383" s="141">
        <v>31</v>
      </c>
      <c r="G383" s="141">
        <v>0.9</v>
      </c>
      <c r="I383" s="17">
        <v>43800</v>
      </c>
      <c r="J383" s="141">
        <v>0.9</v>
      </c>
      <c r="K383" s="141">
        <v>-1.2</v>
      </c>
      <c r="L383" s="141">
        <v>-1.1000000000000001</v>
      </c>
      <c r="M383" s="141">
        <v>-7</v>
      </c>
      <c r="N383" s="141">
        <f t="shared" si="26"/>
        <v>-5.8500000000000005</v>
      </c>
    </row>
    <row r="384" spans="1:14">
      <c r="A384" s="34">
        <v>43831</v>
      </c>
      <c r="B384" s="141">
        <v>666.3</v>
      </c>
      <c r="C384" s="141">
        <v>31</v>
      </c>
      <c r="D384" s="141">
        <v>-2.5</v>
      </c>
      <c r="E384" s="141">
        <v>616.29999999999995</v>
      </c>
      <c r="F384" s="141">
        <v>31</v>
      </c>
      <c r="G384" s="141">
        <v>-0.9</v>
      </c>
      <c r="I384" s="17">
        <v>43831</v>
      </c>
      <c r="J384" s="141">
        <v>-0.9</v>
      </c>
      <c r="K384" s="141">
        <v>-2.5</v>
      </c>
      <c r="L384" s="141">
        <v>-1.6</v>
      </c>
      <c r="M384" s="141">
        <v>-6</v>
      </c>
      <c r="N384" s="141">
        <f t="shared" si="26"/>
        <v>-3.95</v>
      </c>
    </row>
    <row r="385" spans="1:14">
      <c r="A385" s="34">
        <v>43862</v>
      </c>
      <c r="B385" s="141">
        <v>573.29999999999995</v>
      </c>
      <c r="C385" s="141">
        <v>29</v>
      </c>
      <c r="D385" s="141">
        <v>-0.8</v>
      </c>
      <c r="E385" s="141">
        <v>527.29999999999995</v>
      </c>
      <c r="F385" s="141">
        <v>29</v>
      </c>
      <c r="G385" s="141">
        <v>0.8</v>
      </c>
      <c r="I385" s="17">
        <v>43862</v>
      </c>
      <c r="J385" s="141">
        <v>0.8</v>
      </c>
      <c r="K385" s="141">
        <v>-0.8</v>
      </c>
      <c r="L385" s="141">
        <v>-2.1</v>
      </c>
      <c r="M385" s="141">
        <v>-9.4</v>
      </c>
      <c r="N385" s="141">
        <f t="shared" si="26"/>
        <v>-7.9499999999999993</v>
      </c>
    </row>
    <row r="386" spans="1:14">
      <c r="A386" s="34">
        <v>43891</v>
      </c>
      <c r="B386" s="141">
        <v>557</v>
      </c>
      <c r="C386" s="141">
        <v>31</v>
      </c>
      <c r="D386" s="141">
        <v>1</v>
      </c>
      <c r="E386" s="141">
        <v>446.7</v>
      </c>
      <c r="F386" s="141">
        <v>31</v>
      </c>
      <c r="G386" s="141">
        <v>4.5999999999999996</v>
      </c>
      <c r="I386" s="17">
        <v>43891</v>
      </c>
      <c r="J386" s="141">
        <v>4.5999999999999996</v>
      </c>
      <c r="K386" s="141">
        <v>1</v>
      </c>
      <c r="L386" s="141">
        <v>-0.5</v>
      </c>
      <c r="M386" s="141">
        <v>-8.9</v>
      </c>
      <c r="N386" s="141">
        <f t="shared" si="26"/>
        <v>-9.15</v>
      </c>
    </row>
    <row r="387" spans="1:14">
      <c r="A387" s="34">
        <v>43922</v>
      </c>
      <c r="B387" s="141">
        <v>382.1</v>
      </c>
      <c r="C387" s="141">
        <v>30</v>
      </c>
      <c r="D387" s="141">
        <v>6.3</v>
      </c>
      <c r="E387" s="141">
        <v>292.60000000000002</v>
      </c>
      <c r="F387" s="141">
        <v>30</v>
      </c>
      <c r="G387" s="141">
        <v>9.1999999999999993</v>
      </c>
      <c r="I387" s="17">
        <v>43922</v>
      </c>
      <c r="J387" s="141">
        <v>9.1999999999999993</v>
      </c>
      <c r="K387" s="141">
        <v>6.3</v>
      </c>
      <c r="L387" s="141">
        <v>4.8</v>
      </c>
      <c r="M387" s="141">
        <v>-4.3</v>
      </c>
      <c r="N387" s="141">
        <f t="shared" si="26"/>
        <v>-9.85</v>
      </c>
    </row>
    <row r="388" spans="1:14">
      <c r="A388" s="34">
        <v>43952</v>
      </c>
      <c r="B388" s="141">
        <v>324.5</v>
      </c>
      <c r="C388" s="141">
        <v>30</v>
      </c>
      <c r="D388" s="141">
        <v>8.1</v>
      </c>
      <c r="E388" s="141">
        <v>49.1</v>
      </c>
      <c r="F388" s="141">
        <v>8</v>
      </c>
      <c r="G388" s="141">
        <v>14.2</v>
      </c>
      <c r="I388" s="17">
        <v>43952</v>
      </c>
      <c r="J388" s="141">
        <v>14.2</v>
      </c>
      <c r="K388" s="141">
        <v>8.1</v>
      </c>
      <c r="L388" s="141">
        <v>6.3</v>
      </c>
      <c r="M388" s="141">
        <v>-2.7</v>
      </c>
      <c r="N388" s="141">
        <f t="shared" si="26"/>
        <v>-9.8999999999999986</v>
      </c>
    </row>
    <row r="389" spans="1:14">
      <c r="A389" s="34">
        <v>43983</v>
      </c>
      <c r="B389" s="141">
        <v>0</v>
      </c>
      <c r="C389" s="141">
        <v>0</v>
      </c>
      <c r="D389" s="141">
        <v>14.7</v>
      </c>
      <c r="E389" s="141">
        <v>0</v>
      </c>
      <c r="F389" s="141">
        <v>0</v>
      </c>
      <c r="G389" s="141">
        <v>17.5</v>
      </c>
      <c r="I389" s="17">
        <v>43983</v>
      </c>
      <c r="J389" s="141">
        <v>17.5</v>
      </c>
      <c r="K389" s="141">
        <v>14.7</v>
      </c>
      <c r="L389" s="141">
        <v>12.7</v>
      </c>
      <c r="M389" s="141">
        <v>4.5</v>
      </c>
      <c r="N389" s="141">
        <f t="shared" si="26"/>
        <v>-9.1999999999999993</v>
      </c>
    </row>
    <row r="390" spans="1:14">
      <c r="A390" s="34">
        <v>44013</v>
      </c>
      <c r="B390" s="141">
        <v>0</v>
      </c>
      <c r="C390" s="141">
        <v>0</v>
      </c>
      <c r="D390" s="141">
        <v>15.2</v>
      </c>
      <c r="E390" s="141">
        <v>0</v>
      </c>
      <c r="F390" s="141">
        <v>0</v>
      </c>
      <c r="G390" s="141">
        <v>19.100000000000001</v>
      </c>
      <c r="I390" s="17">
        <v>44013</v>
      </c>
      <c r="J390" s="141">
        <v>19.100000000000001</v>
      </c>
      <c r="K390" s="141">
        <v>15.2</v>
      </c>
      <c r="L390" s="141">
        <v>13.7</v>
      </c>
      <c r="M390" s="141">
        <v>4.9000000000000004</v>
      </c>
      <c r="N390" s="141">
        <f t="shared" si="26"/>
        <v>-9.5499999999999989</v>
      </c>
    </row>
    <row r="391" spans="1:14">
      <c r="A391" s="34">
        <v>44044</v>
      </c>
      <c r="B391" s="141">
        <v>0</v>
      </c>
      <c r="C391" s="141">
        <v>0</v>
      </c>
      <c r="D391" s="141">
        <v>16.7</v>
      </c>
      <c r="E391" s="141">
        <v>0</v>
      </c>
      <c r="F391" s="141">
        <v>0</v>
      </c>
      <c r="G391" s="141">
        <v>18.5</v>
      </c>
      <c r="I391" s="17">
        <v>44044</v>
      </c>
      <c r="J391" s="141">
        <v>18.5</v>
      </c>
      <c r="K391" s="141">
        <v>16.7</v>
      </c>
      <c r="L391" s="141">
        <v>15.4</v>
      </c>
      <c r="M391" s="141">
        <v>7.5</v>
      </c>
      <c r="N391" s="141">
        <f t="shared" si="26"/>
        <v>-8.5500000000000007</v>
      </c>
    </row>
    <row r="392" spans="1:14">
      <c r="A392" s="34">
        <v>44075</v>
      </c>
      <c r="B392" s="141">
        <v>137.9</v>
      </c>
      <c r="C392" s="141">
        <v>19</v>
      </c>
      <c r="D392" s="141">
        <v>12.4</v>
      </c>
      <c r="E392" s="141">
        <v>18.5</v>
      </c>
      <c r="F392" s="141">
        <v>3</v>
      </c>
      <c r="G392" s="141">
        <v>14.8</v>
      </c>
      <c r="I392" s="17">
        <v>44075</v>
      </c>
      <c r="J392" s="141">
        <v>14.8</v>
      </c>
      <c r="K392" s="141">
        <v>12.4</v>
      </c>
      <c r="L392" s="141">
        <v>11.1</v>
      </c>
      <c r="M392" s="141">
        <v>5</v>
      </c>
      <c r="N392" s="141">
        <f t="shared" si="26"/>
        <v>-6.75</v>
      </c>
    </row>
    <row r="393" spans="1:14">
      <c r="A393" s="34">
        <v>44105</v>
      </c>
      <c r="B393" s="141">
        <v>370.5</v>
      </c>
      <c r="C393" s="141">
        <v>31</v>
      </c>
      <c r="D393" s="141">
        <v>7</v>
      </c>
      <c r="E393" s="141">
        <v>288.3</v>
      </c>
      <c r="F393" s="141">
        <v>31</v>
      </c>
      <c r="G393" s="141">
        <v>9.6999999999999993</v>
      </c>
      <c r="I393" s="17">
        <v>44105</v>
      </c>
      <c r="J393" s="141">
        <v>9.6999999999999993</v>
      </c>
      <c r="K393" s="141">
        <v>7</v>
      </c>
      <c r="L393" s="141">
        <v>5.5</v>
      </c>
      <c r="M393" s="141">
        <v>-0.6</v>
      </c>
      <c r="N393" s="141">
        <f t="shared" si="26"/>
        <v>-6.85</v>
      </c>
    </row>
    <row r="394" spans="1:14">
      <c r="A394" s="34">
        <v>44136</v>
      </c>
      <c r="B394" s="141">
        <v>529.1</v>
      </c>
      <c r="C394" s="141">
        <v>30</v>
      </c>
      <c r="D394" s="141">
        <v>1.4</v>
      </c>
      <c r="E394" s="141">
        <v>437.7</v>
      </c>
      <c r="F394" s="141">
        <v>30</v>
      </c>
      <c r="G394" s="141">
        <v>4.4000000000000004</v>
      </c>
      <c r="I394" s="17">
        <v>44136</v>
      </c>
      <c r="J394" s="141">
        <v>4.4000000000000004</v>
      </c>
      <c r="K394" s="141">
        <v>1.4</v>
      </c>
      <c r="L394" s="141">
        <v>1.7</v>
      </c>
      <c r="M394" s="141">
        <v>-2.5</v>
      </c>
      <c r="N394" s="141">
        <f t="shared" si="26"/>
        <v>-4.05</v>
      </c>
    </row>
    <row r="395" spans="1:14">
      <c r="A395" s="34">
        <v>44166</v>
      </c>
      <c r="B395" s="141">
        <v>247.3</v>
      </c>
      <c r="C395" s="141">
        <v>13</v>
      </c>
      <c r="D395" s="141">
        <v>0</v>
      </c>
      <c r="E395" s="141">
        <v>228.9</v>
      </c>
      <c r="F395" s="141">
        <v>13</v>
      </c>
      <c r="G395" s="141">
        <v>1.4</v>
      </c>
      <c r="I395" s="17">
        <v>44166</v>
      </c>
      <c r="J395" s="141">
        <v>1.4</v>
      </c>
      <c r="K395" s="141">
        <v>0</v>
      </c>
      <c r="L395" s="141">
        <v>-1</v>
      </c>
      <c r="M395" s="141">
        <v>-6.4</v>
      </c>
      <c r="N395" s="141">
        <f t="shared" si="26"/>
        <v>-5.9</v>
      </c>
    </row>
    <row r="398" spans="1:14">
      <c r="A398" s="141" t="s">
        <v>1407</v>
      </c>
    </row>
    <row r="400" spans="1:14">
      <c r="A400" s="141" t="s">
        <v>766</v>
      </c>
      <c r="B400" s="141" t="s">
        <v>1395</v>
      </c>
      <c r="C400" s="141" t="s">
        <v>1396</v>
      </c>
    </row>
    <row r="401" spans="1:7">
      <c r="A401" s="141" t="s">
        <v>1397</v>
      </c>
      <c r="B401" s="141" t="s">
        <v>1398</v>
      </c>
      <c r="C401" s="141" t="s">
        <v>1397</v>
      </c>
      <c r="D401" s="141" t="s">
        <v>1398</v>
      </c>
    </row>
    <row r="402" spans="1:7">
      <c r="A402" s="141" t="s">
        <v>1399</v>
      </c>
      <c r="B402" s="141" t="s">
        <v>1400</v>
      </c>
      <c r="C402" s="141" t="s">
        <v>1401</v>
      </c>
      <c r="D402" s="141" t="s">
        <v>1399</v>
      </c>
      <c r="E402" s="141" t="s">
        <v>1400</v>
      </c>
      <c r="F402" s="141" t="s">
        <v>1401</v>
      </c>
    </row>
    <row r="403" spans="1:7">
      <c r="A403" s="141" t="s">
        <v>444</v>
      </c>
      <c r="B403" s="141">
        <v>14940.3</v>
      </c>
      <c r="C403" s="141">
        <v>887</v>
      </c>
      <c r="D403" s="141">
        <v>5.2</v>
      </c>
      <c r="E403" s="141">
        <v>10684.7</v>
      </c>
      <c r="F403" s="141">
        <v>749</v>
      </c>
      <c r="G403" s="141">
        <v>9.1999999999999993</v>
      </c>
    </row>
    <row r="404" spans="1:7">
      <c r="A404" s="141" t="s">
        <v>1402</v>
      </c>
    </row>
    <row r="405" spans="1:7">
      <c r="A405" s="141" t="s">
        <v>1403</v>
      </c>
      <c r="B405" s="141" t="s">
        <v>1327</v>
      </c>
    </row>
    <row r="406" spans="1:7">
      <c r="A406" s="34">
        <v>42979</v>
      </c>
      <c r="B406" s="141">
        <v>281.60000000000002</v>
      </c>
      <c r="C406" s="141">
        <v>26</v>
      </c>
      <c r="D406" s="141">
        <v>8.6</v>
      </c>
      <c r="E406" s="141">
        <v>18.5</v>
      </c>
      <c r="F406" s="141">
        <v>3</v>
      </c>
      <c r="G406" s="141">
        <v>14.8</v>
      </c>
    </row>
    <row r="407" spans="1:7">
      <c r="A407" s="34">
        <v>43009</v>
      </c>
      <c r="B407" s="141">
        <v>444.7</v>
      </c>
      <c r="C407" s="141">
        <v>31</v>
      </c>
      <c r="D407" s="141">
        <v>4.7</v>
      </c>
      <c r="E407" s="141">
        <v>288.3</v>
      </c>
      <c r="F407" s="141">
        <v>31</v>
      </c>
      <c r="G407" s="141">
        <v>9.6999999999999993</v>
      </c>
    </row>
    <row r="408" spans="1:7">
      <c r="A408" s="34">
        <v>43040</v>
      </c>
      <c r="B408" s="141">
        <v>575.79999999999995</v>
      </c>
      <c r="C408" s="141">
        <v>30</v>
      </c>
      <c r="D408" s="141">
        <v>-0.2</v>
      </c>
      <c r="E408" s="141">
        <v>437.7</v>
      </c>
      <c r="F408" s="141">
        <v>30</v>
      </c>
      <c r="G408" s="141">
        <v>4.4000000000000004</v>
      </c>
    </row>
    <row r="409" spans="1:7">
      <c r="A409" s="34">
        <v>43070</v>
      </c>
      <c r="B409" s="141">
        <v>715.1</v>
      </c>
      <c r="C409" s="141">
        <v>31</v>
      </c>
      <c r="D409" s="141">
        <v>-4.0999999999999996</v>
      </c>
      <c r="E409" s="141">
        <v>560.6</v>
      </c>
      <c r="F409" s="141">
        <v>31</v>
      </c>
      <c r="G409" s="141">
        <v>0.9</v>
      </c>
    </row>
    <row r="410" spans="1:7">
      <c r="A410" s="34">
        <v>43101</v>
      </c>
      <c r="B410" s="141">
        <v>680.8</v>
      </c>
      <c r="C410" s="141">
        <v>31</v>
      </c>
      <c r="D410" s="141">
        <v>-3</v>
      </c>
      <c r="E410" s="141">
        <v>616.29999999999995</v>
      </c>
      <c r="F410" s="141">
        <v>31</v>
      </c>
      <c r="G410" s="141">
        <v>-0.9</v>
      </c>
    </row>
    <row r="411" spans="1:7">
      <c r="A411" s="34">
        <v>43132</v>
      </c>
      <c r="B411" s="141">
        <v>755.7</v>
      </c>
      <c r="C411" s="141">
        <v>28</v>
      </c>
      <c r="D411" s="141">
        <v>-8</v>
      </c>
      <c r="E411" s="141">
        <v>527.29999999999995</v>
      </c>
      <c r="F411" s="141">
        <v>29</v>
      </c>
      <c r="G411" s="141">
        <v>0.8</v>
      </c>
    </row>
    <row r="412" spans="1:7">
      <c r="A412" s="34">
        <v>43160</v>
      </c>
      <c r="B412" s="141">
        <v>703.8</v>
      </c>
      <c r="C412" s="141">
        <v>31</v>
      </c>
      <c r="D412" s="141">
        <v>-3.7</v>
      </c>
      <c r="E412" s="141">
        <v>446.7</v>
      </c>
      <c r="F412" s="141">
        <v>31</v>
      </c>
      <c r="G412" s="141">
        <v>4.5999999999999996</v>
      </c>
    </row>
    <row r="413" spans="1:7">
      <c r="A413" s="34">
        <v>43191</v>
      </c>
      <c r="B413" s="141">
        <v>299.7</v>
      </c>
      <c r="C413" s="141">
        <v>30</v>
      </c>
      <c r="D413" s="141">
        <v>9</v>
      </c>
      <c r="E413" s="141">
        <v>292.60000000000002</v>
      </c>
      <c r="F413" s="141">
        <v>30</v>
      </c>
      <c r="G413" s="141">
        <v>9.1999999999999993</v>
      </c>
    </row>
    <row r="414" spans="1:7">
      <c r="A414" s="34">
        <v>43221</v>
      </c>
      <c r="B414" s="141">
        <v>178.9</v>
      </c>
      <c r="C414" s="141">
        <v>21</v>
      </c>
      <c r="D414" s="141">
        <v>11.7</v>
      </c>
      <c r="E414" s="141">
        <v>49.1</v>
      </c>
      <c r="F414" s="141">
        <v>8</v>
      </c>
      <c r="G414" s="141">
        <v>14.2</v>
      </c>
    </row>
    <row r="415" spans="1:7">
      <c r="A415" s="34">
        <v>43252</v>
      </c>
      <c r="B415" s="141">
        <v>0</v>
      </c>
      <c r="C415" s="141">
        <v>0</v>
      </c>
      <c r="D415" s="141">
        <v>12.9</v>
      </c>
      <c r="E415" s="141">
        <v>0</v>
      </c>
      <c r="F415" s="141">
        <v>0</v>
      </c>
      <c r="G415" s="141">
        <v>17.5</v>
      </c>
    </row>
    <row r="416" spans="1:7">
      <c r="A416" s="34">
        <v>43282</v>
      </c>
      <c r="B416" s="141">
        <v>0</v>
      </c>
      <c r="C416" s="141">
        <v>0</v>
      </c>
      <c r="D416" s="141">
        <v>14.3</v>
      </c>
      <c r="E416" s="141">
        <v>0</v>
      </c>
      <c r="F416" s="141">
        <v>0</v>
      </c>
      <c r="G416" s="141">
        <v>19.100000000000001</v>
      </c>
    </row>
    <row r="417" spans="1:7">
      <c r="A417" s="34">
        <v>43313</v>
      </c>
      <c r="B417" s="141">
        <v>0</v>
      </c>
      <c r="C417" s="141">
        <v>0</v>
      </c>
      <c r="D417" s="141">
        <v>15.5</v>
      </c>
      <c r="E417" s="141">
        <v>0</v>
      </c>
      <c r="F417" s="141">
        <v>0</v>
      </c>
      <c r="G417" s="141">
        <v>18.5</v>
      </c>
    </row>
    <row r="418" spans="1:7">
      <c r="A418" s="34">
        <v>43344</v>
      </c>
      <c r="B418" s="141">
        <v>193.2</v>
      </c>
      <c r="C418" s="141">
        <v>20</v>
      </c>
      <c r="D418" s="141">
        <v>10.7</v>
      </c>
      <c r="E418" s="141">
        <v>18.5</v>
      </c>
      <c r="F418" s="141">
        <v>3</v>
      </c>
      <c r="G418" s="141">
        <v>14.8</v>
      </c>
    </row>
    <row r="419" spans="1:7">
      <c r="A419" s="34">
        <v>43374</v>
      </c>
      <c r="B419" s="141">
        <v>370.9</v>
      </c>
      <c r="C419" s="141">
        <v>31</v>
      </c>
      <c r="D419" s="141">
        <v>7</v>
      </c>
      <c r="E419" s="141">
        <v>288.3</v>
      </c>
      <c r="F419" s="141">
        <v>31</v>
      </c>
      <c r="G419" s="141">
        <v>9.6999999999999993</v>
      </c>
    </row>
    <row r="420" spans="1:7">
      <c r="A420" s="34">
        <v>43405</v>
      </c>
      <c r="B420" s="141">
        <v>487.9</v>
      </c>
      <c r="C420" s="141">
        <v>30</v>
      </c>
      <c r="D420" s="141">
        <v>2.7</v>
      </c>
      <c r="E420" s="141">
        <v>437.7</v>
      </c>
      <c r="F420" s="141">
        <v>30</v>
      </c>
      <c r="G420" s="141">
        <v>4.4000000000000004</v>
      </c>
    </row>
    <row r="421" spans="1:7">
      <c r="A421" s="34">
        <v>43435</v>
      </c>
      <c r="B421" s="141">
        <v>712</v>
      </c>
      <c r="C421" s="141">
        <v>31</v>
      </c>
      <c r="D421" s="141">
        <v>-4</v>
      </c>
      <c r="E421" s="141">
        <v>560.6</v>
      </c>
      <c r="F421" s="141">
        <v>31</v>
      </c>
      <c r="G421" s="141">
        <v>0.9</v>
      </c>
    </row>
    <row r="422" spans="1:7">
      <c r="A422" s="34">
        <v>43466</v>
      </c>
      <c r="B422" s="141">
        <v>813.1</v>
      </c>
      <c r="C422" s="141">
        <v>31</v>
      </c>
      <c r="D422" s="141">
        <v>-7.2</v>
      </c>
      <c r="E422" s="141">
        <v>616.29999999999995</v>
      </c>
      <c r="F422" s="141">
        <v>31</v>
      </c>
      <c r="G422" s="141">
        <v>-0.9</v>
      </c>
    </row>
    <row r="423" spans="1:7">
      <c r="A423" s="34">
        <v>43497</v>
      </c>
      <c r="B423" s="141">
        <v>571.20000000000005</v>
      </c>
      <c r="C423" s="141">
        <v>28</v>
      </c>
      <c r="D423" s="141">
        <v>-1.4</v>
      </c>
      <c r="E423" s="141">
        <v>527.29999999999995</v>
      </c>
      <c r="F423" s="141">
        <v>29</v>
      </c>
      <c r="G423" s="141">
        <v>0.8</v>
      </c>
    </row>
    <row r="424" spans="1:7">
      <c r="A424" s="34">
        <v>43525</v>
      </c>
      <c r="B424" s="141">
        <v>576.6</v>
      </c>
      <c r="C424" s="141">
        <v>31</v>
      </c>
      <c r="D424" s="141">
        <v>0.4</v>
      </c>
      <c r="E424" s="141">
        <v>446.7</v>
      </c>
      <c r="F424" s="141">
        <v>31</v>
      </c>
      <c r="G424" s="141">
        <v>4.5999999999999996</v>
      </c>
    </row>
    <row r="425" spans="1:7">
      <c r="A425" s="34">
        <v>43556</v>
      </c>
      <c r="B425" s="141">
        <v>429.2</v>
      </c>
      <c r="C425" s="141">
        <v>30</v>
      </c>
      <c r="D425" s="141">
        <v>4.7</v>
      </c>
      <c r="E425" s="141">
        <v>292.60000000000002</v>
      </c>
      <c r="F425" s="141">
        <v>30</v>
      </c>
      <c r="G425" s="141">
        <v>9.1999999999999993</v>
      </c>
    </row>
    <row r="426" spans="1:7">
      <c r="A426" s="34">
        <v>43586</v>
      </c>
      <c r="B426" s="141">
        <v>394.6</v>
      </c>
      <c r="C426" s="141">
        <v>31</v>
      </c>
      <c r="D426" s="141">
        <v>6.3</v>
      </c>
      <c r="E426" s="141">
        <v>49.1</v>
      </c>
      <c r="F426" s="141">
        <v>8</v>
      </c>
      <c r="G426" s="141">
        <v>14.2</v>
      </c>
    </row>
    <row r="427" spans="1:7">
      <c r="A427" s="34">
        <v>43617</v>
      </c>
      <c r="B427" s="141">
        <v>0</v>
      </c>
      <c r="C427" s="141">
        <v>0</v>
      </c>
      <c r="D427" s="141">
        <v>16.399999999999999</v>
      </c>
      <c r="E427" s="141">
        <v>0</v>
      </c>
      <c r="F427" s="141">
        <v>0</v>
      </c>
      <c r="G427" s="141">
        <v>17.5</v>
      </c>
    </row>
    <row r="428" spans="1:7">
      <c r="A428" s="34">
        <v>43647</v>
      </c>
      <c r="B428" s="141">
        <v>0</v>
      </c>
      <c r="C428" s="141">
        <v>0</v>
      </c>
      <c r="D428" s="141">
        <v>13.9</v>
      </c>
      <c r="E428" s="141">
        <v>0</v>
      </c>
      <c r="F428" s="141">
        <v>0</v>
      </c>
      <c r="G428" s="141">
        <v>19.100000000000001</v>
      </c>
    </row>
    <row r="429" spans="1:7">
      <c r="A429" s="34">
        <v>43678</v>
      </c>
      <c r="B429" s="141">
        <v>0</v>
      </c>
      <c r="C429" s="141">
        <v>0</v>
      </c>
      <c r="D429" s="141">
        <v>15.7</v>
      </c>
      <c r="E429" s="141">
        <v>0</v>
      </c>
      <c r="F429" s="141">
        <v>0</v>
      </c>
      <c r="G429" s="141">
        <v>18.5</v>
      </c>
    </row>
    <row r="430" spans="1:7">
      <c r="A430" s="34">
        <v>43709</v>
      </c>
      <c r="B430" s="141">
        <v>256.3</v>
      </c>
      <c r="C430" s="141">
        <v>26</v>
      </c>
      <c r="D430" s="141">
        <v>9.6</v>
      </c>
      <c r="E430" s="141">
        <v>18.5</v>
      </c>
      <c r="F430" s="141">
        <v>3</v>
      </c>
      <c r="G430" s="141">
        <v>14.8</v>
      </c>
    </row>
    <row r="431" spans="1:7">
      <c r="A431" s="34">
        <v>43739</v>
      </c>
      <c r="B431" s="141">
        <v>348.1</v>
      </c>
      <c r="C431" s="141">
        <v>29</v>
      </c>
      <c r="D431" s="141">
        <v>7.3</v>
      </c>
      <c r="E431" s="141">
        <v>288.3</v>
      </c>
      <c r="F431" s="141">
        <v>31</v>
      </c>
      <c r="G431" s="141">
        <v>9.6999999999999993</v>
      </c>
    </row>
    <row r="432" spans="1:7">
      <c r="A432" s="34">
        <v>43770</v>
      </c>
      <c r="B432" s="141">
        <v>465.6</v>
      </c>
      <c r="C432" s="141">
        <v>30</v>
      </c>
      <c r="D432" s="141">
        <v>3.5</v>
      </c>
      <c r="E432" s="141">
        <v>437.7</v>
      </c>
      <c r="F432" s="141">
        <v>30</v>
      </c>
      <c r="G432" s="141">
        <v>4.4000000000000004</v>
      </c>
    </row>
    <row r="433" spans="1:7">
      <c r="A433" s="34">
        <v>43800</v>
      </c>
      <c r="B433" s="141">
        <v>622.29999999999995</v>
      </c>
      <c r="C433" s="141">
        <v>31</v>
      </c>
      <c r="D433" s="141">
        <v>-1.1000000000000001</v>
      </c>
      <c r="E433" s="141">
        <v>560.6</v>
      </c>
      <c r="F433" s="141">
        <v>31</v>
      </c>
      <c r="G433" s="141">
        <v>0.9</v>
      </c>
    </row>
    <row r="434" spans="1:7">
      <c r="A434" s="34">
        <v>43831</v>
      </c>
      <c r="B434" s="141">
        <v>639.1</v>
      </c>
      <c r="C434" s="141">
        <v>31</v>
      </c>
      <c r="D434" s="141">
        <v>-1.6</v>
      </c>
      <c r="E434" s="141">
        <v>616.29999999999995</v>
      </c>
      <c r="F434" s="141">
        <v>31</v>
      </c>
      <c r="G434" s="141">
        <v>-0.9</v>
      </c>
    </row>
    <row r="435" spans="1:7">
      <c r="A435" s="34">
        <v>43862</v>
      </c>
      <c r="B435" s="141">
        <v>612.5</v>
      </c>
      <c r="C435" s="141">
        <v>29</v>
      </c>
      <c r="D435" s="141">
        <v>-2.1</v>
      </c>
      <c r="E435" s="141">
        <v>527.29999999999995</v>
      </c>
      <c r="F435" s="141">
        <v>29</v>
      </c>
      <c r="G435" s="141">
        <v>0.8</v>
      </c>
    </row>
    <row r="436" spans="1:7">
      <c r="A436" s="34">
        <v>43891</v>
      </c>
      <c r="B436" s="141">
        <v>604.6</v>
      </c>
      <c r="C436" s="141">
        <v>31</v>
      </c>
      <c r="D436" s="141">
        <v>-0.5</v>
      </c>
      <c r="E436" s="141">
        <v>446.7</v>
      </c>
      <c r="F436" s="141">
        <v>31</v>
      </c>
      <c r="G436" s="141">
        <v>4.5999999999999996</v>
      </c>
    </row>
    <row r="437" spans="1:7">
      <c r="A437" s="34">
        <v>43922</v>
      </c>
      <c r="B437" s="141">
        <v>427.1</v>
      </c>
      <c r="C437" s="141">
        <v>30</v>
      </c>
      <c r="D437" s="141">
        <v>4.8</v>
      </c>
      <c r="E437" s="141">
        <v>292.60000000000002</v>
      </c>
      <c r="F437" s="141">
        <v>30</v>
      </c>
      <c r="G437" s="141">
        <v>9.1999999999999993</v>
      </c>
    </row>
    <row r="438" spans="1:7">
      <c r="A438" s="34">
        <v>43952</v>
      </c>
      <c r="B438" s="141">
        <v>392.8</v>
      </c>
      <c r="C438" s="141">
        <v>31</v>
      </c>
      <c r="D438" s="141">
        <v>6.3</v>
      </c>
      <c r="E438" s="141">
        <v>49.1</v>
      </c>
      <c r="F438" s="141">
        <v>8</v>
      </c>
      <c r="G438" s="141">
        <v>14.2</v>
      </c>
    </row>
    <row r="439" spans="1:7">
      <c r="A439" s="34">
        <v>43983</v>
      </c>
      <c r="B439" s="141">
        <v>0</v>
      </c>
      <c r="C439" s="141">
        <v>0</v>
      </c>
      <c r="D439" s="141">
        <v>12.7</v>
      </c>
      <c r="E439" s="141">
        <v>0</v>
      </c>
      <c r="F439" s="141">
        <v>0</v>
      </c>
      <c r="G439" s="141">
        <v>17.5</v>
      </c>
    </row>
    <row r="440" spans="1:7">
      <c r="A440" s="34">
        <v>44013</v>
      </c>
      <c r="B440" s="141">
        <v>0</v>
      </c>
      <c r="C440" s="141">
        <v>0</v>
      </c>
      <c r="D440" s="141">
        <v>13.7</v>
      </c>
      <c r="E440" s="141">
        <v>0</v>
      </c>
      <c r="F440" s="141">
        <v>0</v>
      </c>
      <c r="G440" s="141">
        <v>19.100000000000001</v>
      </c>
    </row>
    <row r="441" spans="1:7">
      <c r="A441" s="34">
        <v>44044</v>
      </c>
      <c r="B441" s="141">
        <v>0</v>
      </c>
      <c r="C441" s="141">
        <v>0</v>
      </c>
      <c r="D441" s="141">
        <v>15.4</v>
      </c>
      <c r="E441" s="141">
        <v>0</v>
      </c>
      <c r="F441" s="141">
        <v>0</v>
      </c>
      <c r="G441" s="141">
        <v>18.5</v>
      </c>
    </row>
    <row r="442" spans="1:7">
      <c r="A442" s="34">
        <v>44075</v>
      </c>
      <c r="B442" s="141">
        <v>192.2</v>
      </c>
      <c r="C442" s="141">
        <v>23</v>
      </c>
      <c r="D442" s="141">
        <v>11.1</v>
      </c>
      <c r="E442" s="141">
        <v>18.5</v>
      </c>
      <c r="F442" s="141">
        <v>3</v>
      </c>
      <c r="G442" s="141">
        <v>14.8</v>
      </c>
    </row>
    <row r="443" spans="1:7">
      <c r="A443" s="34">
        <v>44105</v>
      </c>
      <c r="B443" s="141">
        <v>417.5</v>
      </c>
      <c r="C443" s="141">
        <v>31</v>
      </c>
      <c r="D443" s="141">
        <v>5.5</v>
      </c>
      <c r="E443" s="141">
        <v>288.3</v>
      </c>
      <c r="F443" s="141">
        <v>31</v>
      </c>
      <c r="G443" s="141">
        <v>9.6999999999999993</v>
      </c>
    </row>
    <row r="444" spans="1:7">
      <c r="A444" s="34">
        <v>44136</v>
      </c>
      <c r="B444" s="141">
        <v>517.6</v>
      </c>
      <c r="C444" s="141">
        <v>30</v>
      </c>
      <c r="D444" s="141">
        <v>1.7</v>
      </c>
      <c r="E444" s="141">
        <v>437.7</v>
      </c>
      <c r="F444" s="141">
        <v>30</v>
      </c>
      <c r="G444" s="141">
        <v>4.4000000000000004</v>
      </c>
    </row>
    <row r="445" spans="1:7">
      <c r="A445" s="34">
        <v>44166</v>
      </c>
      <c r="B445" s="141">
        <v>259.8</v>
      </c>
      <c r="C445" s="141">
        <v>13</v>
      </c>
      <c r="D445" s="141">
        <v>-1</v>
      </c>
      <c r="E445" s="141">
        <v>228.9</v>
      </c>
      <c r="F445" s="141">
        <v>13</v>
      </c>
      <c r="G445" s="141">
        <v>1.4</v>
      </c>
    </row>
    <row r="447" spans="1:7">
      <c r="A447" s="141" t="s">
        <v>1408</v>
      </c>
    </row>
    <row r="449" spans="1:7">
      <c r="A449" s="141" t="s">
        <v>1395</v>
      </c>
      <c r="B449" s="141" t="s">
        <v>1396</v>
      </c>
    </row>
    <row r="450" spans="1:7">
      <c r="A450" s="141" t="s">
        <v>1397</v>
      </c>
      <c r="B450" s="141" t="s">
        <v>1398</v>
      </c>
      <c r="C450" s="141" t="s">
        <v>1397</v>
      </c>
      <c r="D450" s="141" t="s">
        <v>1398</v>
      </c>
    </row>
    <row r="451" spans="1:7">
      <c r="A451" s="141" t="s">
        <v>1399</v>
      </c>
      <c r="B451" s="141" t="s">
        <v>1400</v>
      </c>
      <c r="C451" s="141" t="s">
        <v>1401</v>
      </c>
      <c r="D451" s="141" t="s">
        <v>1399</v>
      </c>
      <c r="E451" s="141" t="s">
        <v>1400</v>
      </c>
      <c r="F451" s="141" t="s">
        <v>1401</v>
      </c>
    </row>
    <row r="452" spans="1:7">
      <c r="A452" s="141" t="s">
        <v>444</v>
      </c>
      <c r="B452" s="141">
        <v>21386.9</v>
      </c>
      <c r="C452" s="141">
        <v>919</v>
      </c>
      <c r="D452" s="141">
        <v>-2</v>
      </c>
      <c r="E452" s="141">
        <v>10684.7</v>
      </c>
      <c r="F452" s="141">
        <v>749</v>
      </c>
      <c r="G452" s="141">
        <v>9.1999999999999993</v>
      </c>
    </row>
    <row r="453" spans="1:7">
      <c r="A453" s="141" t="s">
        <v>1402</v>
      </c>
    </row>
    <row r="454" spans="1:7">
      <c r="A454" s="141" t="s">
        <v>1403</v>
      </c>
      <c r="B454" s="141" t="s">
        <v>1327</v>
      </c>
    </row>
    <row r="455" spans="1:7">
      <c r="A455" s="34">
        <v>42979</v>
      </c>
      <c r="B455" s="141">
        <v>524</v>
      </c>
      <c r="C455" s="141">
        <v>28</v>
      </c>
      <c r="D455" s="141">
        <v>0.7</v>
      </c>
      <c r="E455" s="141">
        <v>18.5</v>
      </c>
      <c r="F455" s="141">
        <v>3</v>
      </c>
      <c r="G455" s="141">
        <v>14.8</v>
      </c>
    </row>
    <row r="456" spans="1:7">
      <c r="A456" s="34">
        <v>43009</v>
      </c>
      <c r="B456" s="141">
        <v>662.5</v>
      </c>
      <c r="C456" s="141">
        <v>31</v>
      </c>
      <c r="D456" s="141">
        <v>-2.4</v>
      </c>
      <c r="E456" s="141">
        <v>288.3</v>
      </c>
      <c r="F456" s="141">
        <v>31</v>
      </c>
      <c r="G456" s="141">
        <v>9.6999999999999993</v>
      </c>
    </row>
    <row r="457" spans="1:7">
      <c r="A457" s="34">
        <v>43040</v>
      </c>
      <c r="B457" s="141">
        <v>750.1</v>
      </c>
      <c r="C457" s="141">
        <v>30</v>
      </c>
      <c r="D457" s="141">
        <v>-6</v>
      </c>
      <c r="E457" s="141">
        <v>437.7</v>
      </c>
      <c r="F457" s="141">
        <v>30</v>
      </c>
      <c r="G457" s="141">
        <v>4.4000000000000004</v>
      </c>
    </row>
    <row r="458" spans="1:7">
      <c r="A458" s="34">
        <v>43070</v>
      </c>
      <c r="B458" s="141">
        <v>904.8</v>
      </c>
      <c r="C458" s="141">
        <v>31</v>
      </c>
      <c r="D458" s="141">
        <v>-10.199999999999999</v>
      </c>
      <c r="E458" s="141">
        <v>560.6</v>
      </c>
      <c r="F458" s="141">
        <v>31</v>
      </c>
      <c r="G458" s="141">
        <v>0.9</v>
      </c>
    </row>
    <row r="459" spans="1:7">
      <c r="A459" s="34">
        <v>43101</v>
      </c>
      <c r="B459" s="141">
        <v>859.3</v>
      </c>
      <c r="C459" s="141">
        <v>31</v>
      </c>
      <c r="D459" s="141">
        <v>-8.6999999999999993</v>
      </c>
      <c r="E459" s="141">
        <v>616.29999999999995</v>
      </c>
      <c r="F459" s="141">
        <v>31</v>
      </c>
      <c r="G459" s="141">
        <v>-0.9</v>
      </c>
    </row>
    <row r="460" spans="1:7">
      <c r="A460" s="34">
        <v>43132</v>
      </c>
      <c r="B460" s="141">
        <v>921.7</v>
      </c>
      <c r="C460" s="141">
        <v>28</v>
      </c>
      <c r="D460" s="141">
        <v>-13.9</v>
      </c>
      <c r="E460" s="141">
        <v>527.29999999999995</v>
      </c>
      <c r="F460" s="141">
        <v>29</v>
      </c>
      <c r="G460" s="141">
        <v>0.8</v>
      </c>
    </row>
    <row r="461" spans="1:7">
      <c r="A461" s="34">
        <v>43160</v>
      </c>
      <c r="B461" s="141">
        <v>853.6</v>
      </c>
      <c r="C461" s="141">
        <v>31</v>
      </c>
      <c r="D461" s="141">
        <v>-8.5</v>
      </c>
      <c r="E461" s="141">
        <v>446.7</v>
      </c>
      <c r="F461" s="141">
        <v>31</v>
      </c>
      <c r="G461" s="141">
        <v>4.5999999999999996</v>
      </c>
    </row>
    <row r="462" spans="1:7">
      <c r="A462" s="34">
        <v>43191</v>
      </c>
      <c r="B462" s="141">
        <v>573.79999999999995</v>
      </c>
      <c r="C462" s="141">
        <v>30</v>
      </c>
      <c r="D462" s="141">
        <v>-0.1</v>
      </c>
      <c r="E462" s="141">
        <v>292.60000000000002</v>
      </c>
      <c r="F462" s="141">
        <v>30</v>
      </c>
      <c r="G462" s="141">
        <v>9.1999999999999993</v>
      </c>
    </row>
    <row r="463" spans="1:7">
      <c r="A463" s="34">
        <v>43221</v>
      </c>
      <c r="B463" s="141">
        <v>508.2</v>
      </c>
      <c r="C463" s="141">
        <v>31</v>
      </c>
      <c r="D463" s="141">
        <v>2.6</v>
      </c>
      <c r="E463" s="141">
        <v>49.1</v>
      </c>
      <c r="F463" s="141">
        <v>8</v>
      </c>
      <c r="G463" s="141">
        <v>14.2</v>
      </c>
    </row>
    <row r="464" spans="1:7">
      <c r="A464" s="34">
        <v>43252</v>
      </c>
      <c r="B464" s="141">
        <v>0</v>
      </c>
      <c r="C464" s="141">
        <v>0</v>
      </c>
      <c r="D464" s="141">
        <v>4.2</v>
      </c>
      <c r="E464" s="141">
        <v>0</v>
      </c>
      <c r="F464" s="141">
        <v>0</v>
      </c>
      <c r="G464" s="141">
        <v>17.5</v>
      </c>
    </row>
    <row r="465" spans="1:7">
      <c r="A465" s="34">
        <v>43282</v>
      </c>
      <c r="B465" s="141">
        <v>0</v>
      </c>
      <c r="C465" s="141">
        <v>0</v>
      </c>
      <c r="D465" s="141">
        <v>4.9000000000000004</v>
      </c>
      <c r="E465" s="141">
        <v>0</v>
      </c>
      <c r="F465" s="141">
        <v>0</v>
      </c>
      <c r="G465" s="141">
        <v>19.100000000000001</v>
      </c>
    </row>
    <row r="466" spans="1:7">
      <c r="A466" s="34">
        <v>43313</v>
      </c>
      <c r="B466" s="141">
        <v>0</v>
      </c>
      <c r="C466" s="141">
        <v>0</v>
      </c>
      <c r="D466" s="141">
        <v>7.8</v>
      </c>
      <c r="E466" s="141">
        <v>0</v>
      </c>
      <c r="F466" s="141">
        <v>0</v>
      </c>
      <c r="G466" s="141">
        <v>18.5</v>
      </c>
    </row>
    <row r="467" spans="1:7">
      <c r="A467" s="34">
        <v>43344</v>
      </c>
      <c r="B467" s="141">
        <v>465.8</v>
      </c>
      <c r="C467" s="141">
        <v>29</v>
      </c>
      <c r="D467" s="141">
        <v>3.1</v>
      </c>
      <c r="E467" s="141">
        <v>18.5</v>
      </c>
      <c r="F467" s="141">
        <v>3</v>
      </c>
      <c r="G467" s="141">
        <v>14.8</v>
      </c>
    </row>
    <row r="468" spans="1:7">
      <c r="A468" s="34">
        <v>43374</v>
      </c>
      <c r="B468" s="141">
        <v>583</v>
      </c>
      <c r="C468" s="141">
        <v>31</v>
      </c>
      <c r="D468" s="141">
        <v>0.2</v>
      </c>
      <c r="E468" s="141">
        <v>288.3</v>
      </c>
      <c r="F468" s="141">
        <v>31</v>
      </c>
      <c r="G468" s="141">
        <v>9.6999999999999993</v>
      </c>
    </row>
    <row r="469" spans="1:7">
      <c r="A469" s="34">
        <v>43405</v>
      </c>
      <c r="B469" s="141">
        <v>651.5</v>
      </c>
      <c r="C469" s="141">
        <v>30</v>
      </c>
      <c r="D469" s="141">
        <v>-2.7</v>
      </c>
      <c r="E469" s="141">
        <v>437.7</v>
      </c>
      <c r="F469" s="141">
        <v>30</v>
      </c>
      <c r="G469" s="141">
        <v>4.4000000000000004</v>
      </c>
    </row>
    <row r="470" spans="1:7">
      <c r="A470" s="34">
        <v>43435</v>
      </c>
      <c r="B470" s="141">
        <v>894</v>
      </c>
      <c r="C470" s="141">
        <v>31</v>
      </c>
      <c r="D470" s="141">
        <v>-9.8000000000000007</v>
      </c>
      <c r="E470" s="141">
        <v>560.6</v>
      </c>
      <c r="F470" s="141">
        <v>31</v>
      </c>
      <c r="G470" s="141">
        <v>0.9</v>
      </c>
    </row>
    <row r="471" spans="1:7">
      <c r="A471" s="34">
        <v>43466</v>
      </c>
      <c r="B471" s="141">
        <v>1003.1</v>
      </c>
      <c r="C471" s="141">
        <v>31</v>
      </c>
      <c r="D471" s="141">
        <v>-13.4</v>
      </c>
      <c r="E471" s="141">
        <v>616.29999999999995</v>
      </c>
      <c r="F471" s="141">
        <v>31</v>
      </c>
      <c r="G471" s="141">
        <v>-0.9</v>
      </c>
    </row>
    <row r="472" spans="1:7">
      <c r="A472" s="34">
        <v>43497</v>
      </c>
      <c r="B472" s="141">
        <v>745.7</v>
      </c>
      <c r="C472" s="141">
        <v>28</v>
      </c>
      <c r="D472" s="141">
        <v>-7.6</v>
      </c>
      <c r="E472" s="141">
        <v>527.29999999999995</v>
      </c>
      <c r="F472" s="141">
        <v>29</v>
      </c>
      <c r="G472" s="141">
        <v>0.8</v>
      </c>
    </row>
    <row r="473" spans="1:7">
      <c r="A473" s="34">
        <v>43525</v>
      </c>
      <c r="B473" s="141">
        <v>831.1</v>
      </c>
      <c r="C473" s="141">
        <v>31</v>
      </c>
      <c r="D473" s="141">
        <v>-7.8</v>
      </c>
      <c r="E473" s="141">
        <v>446.7</v>
      </c>
      <c r="F473" s="141">
        <v>31</v>
      </c>
      <c r="G473" s="141">
        <v>4.5999999999999996</v>
      </c>
    </row>
    <row r="474" spans="1:7">
      <c r="A474" s="34">
        <v>43556</v>
      </c>
      <c r="B474" s="141">
        <v>671.1</v>
      </c>
      <c r="C474" s="141">
        <v>30</v>
      </c>
      <c r="D474" s="141">
        <v>-3.4</v>
      </c>
      <c r="E474" s="141">
        <v>292.60000000000002</v>
      </c>
      <c r="F474" s="141">
        <v>30</v>
      </c>
      <c r="G474" s="141">
        <v>9.1999999999999993</v>
      </c>
    </row>
    <row r="475" spans="1:7">
      <c r="A475" s="34">
        <v>43586</v>
      </c>
      <c r="B475" s="141">
        <v>634.79999999999995</v>
      </c>
      <c r="C475" s="141">
        <v>31</v>
      </c>
      <c r="D475" s="141">
        <v>-1.5</v>
      </c>
      <c r="E475" s="141">
        <v>49.1</v>
      </c>
      <c r="F475" s="141">
        <v>8</v>
      </c>
      <c r="G475" s="141">
        <v>14.2</v>
      </c>
    </row>
    <row r="476" spans="1:7">
      <c r="A476" s="34">
        <v>43617</v>
      </c>
      <c r="B476" s="141">
        <v>0</v>
      </c>
      <c r="C476" s="141">
        <v>0</v>
      </c>
      <c r="D476" s="141">
        <v>7.3</v>
      </c>
      <c r="E476" s="141">
        <v>0</v>
      </c>
      <c r="F476" s="141">
        <v>0</v>
      </c>
      <c r="G476" s="141">
        <v>17.5</v>
      </c>
    </row>
    <row r="477" spans="1:7">
      <c r="A477" s="34">
        <v>43647</v>
      </c>
      <c r="B477" s="141">
        <v>0</v>
      </c>
      <c r="C477" s="141">
        <v>0</v>
      </c>
      <c r="D477" s="141">
        <v>4.2</v>
      </c>
      <c r="E477" s="141">
        <v>0</v>
      </c>
      <c r="F477" s="141">
        <v>0</v>
      </c>
      <c r="G477" s="141">
        <v>19.100000000000001</v>
      </c>
    </row>
    <row r="478" spans="1:7">
      <c r="A478" s="34">
        <v>43678</v>
      </c>
      <c r="B478" s="141">
        <v>0</v>
      </c>
      <c r="C478" s="141">
        <v>0</v>
      </c>
      <c r="D478" s="141">
        <v>7.1</v>
      </c>
      <c r="E478" s="141">
        <v>0</v>
      </c>
      <c r="F478" s="141">
        <v>0</v>
      </c>
      <c r="G478" s="141">
        <v>18.5</v>
      </c>
    </row>
    <row r="479" spans="1:7">
      <c r="A479" s="34">
        <v>43709</v>
      </c>
      <c r="B479" s="141">
        <v>502.6</v>
      </c>
      <c r="C479" s="141">
        <v>29</v>
      </c>
      <c r="D479" s="141">
        <v>1.9</v>
      </c>
      <c r="E479" s="141">
        <v>18.5</v>
      </c>
      <c r="F479" s="141">
        <v>3</v>
      </c>
      <c r="G479" s="141">
        <v>14.8</v>
      </c>
    </row>
    <row r="480" spans="1:7">
      <c r="A480" s="34">
        <v>43739</v>
      </c>
      <c r="B480" s="141">
        <v>543.20000000000005</v>
      </c>
      <c r="C480" s="141">
        <v>31</v>
      </c>
      <c r="D480" s="141">
        <v>1.5</v>
      </c>
      <c r="E480" s="141">
        <v>288.3</v>
      </c>
      <c r="F480" s="141">
        <v>31</v>
      </c>
      <c r="G480" s="141">
        <v>9.6999999999999993</v>
      </c>
    </row>
    <row r="481" spans="1:7">
      <c r="A481" s="34">
        <v>43770</v>
      </c>
      <c r="B481" s="141">
        <v>677.4</v>
      </c>
      <c r="C481" s="141">
        <v>30</v>
      </c>
      <c r="D481" s="141">
        <v>-3.6</v>
      </c>
      <c r="E481" s="141">
        <v>437.7</v>
      </c>
      <c r="F481" s="141">
        <v>30</v>
      </c>
      <c r="G481" s="141">
        <v>4.4000000000000004</v>
      </c>
    </row>
    <row r="482" spans="1:7">
      <c r="A482" s="34">
        <v>43800</v>
      </c>
      <c r="B482" s="141">
        <v>806.5</v>
      </c>
      <c r="C482" s="141">
        <v>31</v>
      </c>
      <c r="D482" s="141">
        <v>-7</v>
      </c>
      <c r="E482" s="141">
        <v>560.6</v>
      </c>
      <c r="F482" s="141">
        <v>31</v>
      </c>
      <c r="G482" s="141">
        <v>0.9</v>
      </c>
    </row>
    <row r="483" spans="1:7">
      <c r="A483" s="34">
        <v>43831</v>
      </c>
      <c r="B483" s="141">
        <v>774.1</v>
      </c>
      <c r="C483" s="141">
        <v>31</v>
      </c>
      <c r="D483" s="141">
        <v>-6</v>
      </c>
      <c r="E483" s="141">
        <v>616.29999999999995</v>
      </c>
      <c r="F483" s="141">
        <v>31</v>
      </c>
      <c r="G483" s="141">
        <v>-0.9</v>
      </c>
    </row>
    <row r="484" spans="1:7">
      <c r="A484" s="34">
        <v>43862</v>
      </c>
      <c r="B484" s="141">
        <v>823.5</v>
      </c>
      <c r="C484" s="141">
        <v>29</v>
      </c>
      <c r="D484" s="141">
        <v>-9.4</v>
      </c>
      <c r="E484" s="141">
        <v>527.29999999999995</v>
      </c>
      <c r="F484" s="141">
        <v>29</v>
      </c>
      <c r="G484" s="141">
        <v>0.8</v>
      </c>
    </row>
    <row r="485" spans="1:7">
      <c r="A485" s="34">
        <v>43891</v>
      </c>
      <c r="B485" s="141">
        <v>864.4</v>
      </c>
      <c r="C485" s="141">
        <v>31</v>
      </c>
      <c r="D485" s="141">
        <v>-8.9</v>
      </c>
      <c r="E485" s="141">
        <v>446.7</v>
      </c>
      <c r="F485" s="141">
        <v>31</v>
      </c>
      <c r="G485" s="141">
        <v>4.5999999999999996</v>
      </c>
    </row>
    <row r="486" spans="1:7">
      <c r="A486" s="34">
        <v>43922</v>
      </c>
      <c r="B486" s="141">
        <v>699.2</v>
      </c>
      <c r="C486" s="141">
        <v>30</v>
      </c>
      <c r="D486" s="141">
        <v>-4.3</v>
      </c>
      <c r="E486" s="141">
        <v>292.60000000000002</v>
      </c>
      <c r="F486" s="141">
        <v>30</v>
      </c>
      <c r="G486" s="141">
        <v>9.1999999999999993</v>
      </c>
    </row>
    <row r="487" spans="1:7">
      <c r="A487" s="34">
        <v>43952</v>
      </c>
      <c r="B487" s="141">
        <v>671.7</v>
      </c>
      <c r="C487" s="141">
        <v>31</v>
      </c>
      <c r="D487" s="141">
        <v>-2.7</v>
      </c>
      <c r="E487" s="141">
        <v>49.1</v>
      </c>
      <c r="F487" s="141">
        <v>8</v>
      </c>
      <c r="G487" s="141">
        <v>14.2</v>
      </c>
    </row>
    <row r="488" spans="1:7">
      <c r="A488" s="34">
        <v>43983</v>
      </c>
      <c r="B488" s="141">
        <v>0</v>
      </c>
      <c r="C488" s="141">
        <v>0</v>
      </c>
      <c r="D488" s="141">
        <v>4.5</v>
      </c>
      <c r="E488" s="141">
        <v>0</v>
      </c>
      <c r="F488" s="141">
        <v>0</v>
      </c>
      <c r="G488" s="141">
        <v>17.5</v>
      </c>
    </row>
    <row r="489" spans="1:7">
      <c r="A489" s="34">
        <v>44013</v>
      </c>
      <c r="B489" s="141">
        <v>0</v>
      </c>
      <c r="C489" s="141">
        <v>0</v>
      </c>
      <c r="D489" s="141">
        <v>4.9000000000000004</v>
      </c>
      <c r="E489" s="141">
        <v>0</v>
      </c>
      <c r="F489" s="141">
        <v>0</v>
      </c>
      <c r="G489" s="141">
        <v>19.100000000000001</v>
      </c>
    </row>
    <row r="490" spans="1:7">
      <c r="A490" s="34">
        <v>44044</v>
      </c>
      <c r="B490" s="141">
        <v>0</v>
      </c>
      <c r="C490" s="141">
        <v>0</v>
      </c>
      <c r="D490" s="141">
        <v>7.5</v>
      </c>
      <c r="E490" s="141">
        <v>0</v>
      </c>
      <c r="F490" s="141">
        <v>0</v>
      </c>
      <c r="G490" s="141">
        <v>18.5</v>
      </c>
    </row>
    <row r="491" spans="1:7">
      <c r="A491" s="34">
        <v>44075</v>
      </c>
      <c r="B491" s="141">
        <v>404</v>
      </c>
      <c r="C491" s="141">
        <v>29</v>
      </c>
      <c r="D491" s="141">
        <v>5</v>
      </c>
      <c r="E491" s="141">
        <v>18.5</v>
      </c>
      <c r="F491" s="141">
        <v>3</v>
      </c>
      <c r="G491" s="141">
        <v>14.8</v>
      </c>
    </row>
    <row r="492" spans="1:7">
      <c r="A492" s="34">
        <v>44105</v>
      </c>
      <c r="B492" s="141">
        <v>607.79999999999995</v>
      </c>
      <c r="C492" s="141">
        <v>31</v>
      </c>
      <c r="D492" s="141">
        <v>-0.6</v>
      </c>
      <c r="E492" s="141">
        <v>288.3</v>
      </c>
      <c r="F492" s="141">
        <v>31</v>
      </c>
      <c r="G492" s="141">
        <v>9.6999999999999993</v>
      </c>
    </row>
    <row r="493" spans="1:7">
      <c r="A493" s="34">
        <v>44136</v>
      </c>
      <c r="B493" s="141">
        <v>643.6</v>
      </c>
      <c r="C493" s="141">
        <v>30</v>
      </c>
      <c r="D493" s="141">
        <v>-2.5</v>
      </c>
      <c r="E493" s="141">
        <v>437.7</v>
      </c>
      <c r="F493" s="141">
        <v>30</v>
      </c>
      <c r="G493" s="141">
        <v>4.4000000000000004</v>
      </c>
    </row>
    <row r="494" spans="1:7">
      <c r="A494" s="34">
        <v>44166</v>
      </c>
      <c r="B494" s="141">
        <v>330.8</v>
      </c>
      <c r="C494" s="141">
        <v>13</v>
      </c>
      <c r="D494" s="141">
        <v>-6.4</v>
      </c>
      <c r="E494" s="141">
        <v>228.9</v>
      </c>
      <c r="F494" s="141">
        <v>13</v>
      </c>
      <c r="G494" s="141">
        <v>1.4</v>
      </c>
    </row>
  </sheetData>
  <hyperlinks>
    <hyperlink ref="F207" r:id="rId1"/>
    <hyperlink ref="A343" r:id="rId2"/>
    <hyperlink ref="A345" r:id="rId3"/>
    <hyperlink ref="F206" r:id="rId4"/>
  </hyperlinks>
  <pageMargins left="0.7" right="0.7" top="0.78740157499999996" bottom="0.78740157499999996" header="0.3" footer="0.3"/>
  <pageSetup paperSize="0" orientation="portrait" horizontalDpi="0" verticalDpi="0" copies="0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>
  <dimension ref="A1:AF688"/>
  <sheetViews>
    <sheetView tabSelected="1" zoomScale="87" zoomScaleNormal="87" workbookViewId="0">
      <selection activeCell="Q2" sqref="Q2"/>
    </sheetView>
  </sheetViews>
  <sheetFormatPr defaultColWidth="5.140625" defaultRowHeight="12.75"/>
  <cols>
    <col min="1" max="8" width="5.140625" style="130"/>
    <col min="9" max="9" width="10" style="130" customWidth="1"/>
    <col min="10" max="16384" width="5.140625" style="130"/>
  </cols>
  <sheetData>
    <row r="1" spans="1:32" s="137" customFormat="1" ht="15">
      <c r="A1" s="137" t="s">
        <v>976</v>
      </c>
      <c r="E1" s="140" t="s">
        <v>1466</v>
      </c>
      <c r="Q1" s="137" t="s">
        <v>1528</v>
      </c>
      <c r="S1" s="137" t="s">
        <v>505</v>
      </c>
      <c r="T1" s="130"/>
      <c r="U1" s="130"/>
      <c r="V1" s="130">
        <f>V6+V7+V8+V9+V15+V16+V17</f>
        <v>166.929</v>
      </c>
      <c r="W1" s="137">
        <f>W6+W7+W8+W9+W15+W16+W17</f>
        <v>357.50815884476538</v>
      </c>
      <c r="X1" s="137">
        <f>X6+X7+X8+X9+X15+X16+X17</f>
        <v>358.38499999999999</v>
      </c>
      <c r="AA1" s="140" t="s">
        <v>1466</v>
      </c>
      <c r="AB1" s="140"/>
    </row>
    <row r="2" spans="1:32">
      <c r="A2" s="130" t="s">
        <v>478</v>
      </c>
      <c r="V2" s="130">
        <f>W1/V1</f>
        <v>2.1416779519721878</v>
      </c>
      <c r="W2" s="130">
        <f>W1/X1</f>
        <v>0.99755335419943747</v>
      </c>
      <c r="X2" s="137" t="s">
        <v>508</v>
      </c>
      <c r="Z2" s="137" t="s">
        <v>1002</v>
      </c>
      <c r="AB2" s="137" t="s">
        <v>509</v>
      </c>
      <c r="AC2" s="137"/>
      <c r="AF2" s="137" t="s">
        <v>510</v>
      </c>
    </row>
    <row r="3" spans="1:32">
      <c r="T3" s="130">
        <f>W3*1000/30</f>
        <v>1133.3333333333333</v>
      </c>
      <c r="U3" s="130" t="s">
        <v>331</v>
      </c>
      <c r="W3" s="135">
        <v>34</v>
      </c>
      <c r="X3" s="130" t="s">
        <v>477</v>
      </c>
      <c r="Z3" s="130">
        <v>33</v>
      </c>
      <c r="AB3" s="130">
        <v>33</v>
      </c>
      <c r="AF3" s="130">
        <v>45</v>
      </c>
    </row>
    <row r="4" spans="1:32">
      <c r="A4" s="130" t="s">
        <v>476</v>
      </c>
      <c r="W4" s="135">
        <v>20.5</v>
      </c>
      <c r="X4" s="130" t="s">
        <v>6</v>
      </c>
      <c r="Z4" s="130">
        <v>17</v>
      </c>
      <c r="AB4" s="130">
        <v>21</v>
      </c>
      <c r="AF4" s="130">
        <v>9.3000000000000007</v>
      </c>
    </row>
    <row r="5" spans="1:32">
      <c r="B5" s="130" t="s">
        <v>474</v>
      </c>
      <c r="C5" s="130" t="s">
        <v>475</v>
      </c>
      <c r="F5" s="130" t="s">
        <v>474</v>
      </c>
      <c r="G5" s="130" t="s">
        <v>473</v>
      </c>
      <c r="H5" s="130" t="s">
        <v>472</v>
      </c>
      <c r="I5" s="130" t="s">
        <v>471</v>
      </c>
      <c r="J5" s="130" t="s">
        <v>470</v>
      </c>
      <c r="M5" s="135">
        <v>33</v>
      </c>
      <c r="N5" s="137" t="s">
        <v>511</v>
      </c>
      <c r="O5" s="130" t="s">
        <v>469</v>
      </c>
      <c r="T5" s="130" t="s">
        <v>230</v>
      </c>
      <c r="U5" s="130" t="s">
        <v>468</v>
      </c>
      <c r="V5" s="130" t="s">
        <v>467</v>
      </c>
      <c r="W5" s="130" t="s">
        <v>466</v>
      </c>
      <c r="X5" s="130" t="s">
        <v>465</v>
      </c>
      <c r="Y5" s="137" t="s">
        <v>999</v>
      </c>
      <c r="Z5" s="137" t="s">
        <v>1000</v>
      </c>
      <c r="AA5" s="137" t="s">
        <v>466</v>
      </c>
      <c r="AB5" s="130" t="s">
        <v>464</v>
      </c>
    </row>
    <row r="6" spans="1:32">
      <c r="A6" s="130" t="s">
        <v>463</v>
      </c>
      <c r="B6" s="130" t="s">
        <v>462</v>
      </c>
      <c r="C6" s="130" t="s">
        <v>461</v>
      </c>
      <c r="D6" s="130" t="s">
        <v>458</v>
      </c>
      <c r="E6" s="130" t="s">
        <v>460</v>
      </c>
      <c r="F6" s="137" t="s">
        <v>1444</v>
      </c>
      <c r="G6" s="137" t="s">
        <v>1445</v>
      </c>
      <c r="H6" s="130" t="s">
        <v>459</v>
      </c>
      <c r="I6" s="130" t="s">
        <v>459</v>
      </c>
      <c r="J6" s="130" t="s">
        <v>459</v>
      </c>
      <c r="K6" s="130" t="s">
        <v>458</v>
      </c>
      <c r="L6" s="130" t="s">
        <v>34</v>
      </c>
      <c r="M6" s="130" t="s">
        <v>457</v>
      </c>
      <c r="O6" s="130">
        <v>13</v>
      </c>
      <c r="Q6" s="130">
        <v>45.7</v>
      </c>
      <c r="S6" s="130">
        <v>1</v>
      </c>
      <c r="T6" s="130">
        <v>31</v>
      </c>
      <c r="U6" s="130">
        <v>-1.3</v>
      </c>
      <c r="V6" s="130">
        <v>42.781999999999996</v>
      </c>
      <c r="W6" s="130">
        <f>(W$4-U6)*W$3*T6*24/T6/277</f>
        <v>64.219494584837562</v>
      </c>
      <c r="X6" s="130">
        <v>66.346000000000004</v>
      </c>
      <c r="Y6" s="130">
        <f>V6/0.0036/24/T6</f>
        <v>15.972968936678614</v>
      </c>
      <c r="Z6" s="130">
        <f>X6/0.0036/24/T6</f>
        <v>24.770758661887697</v>
      </c>
      <c r="AA6" s="130">
        <f>W$3*(W$4-U6)/30</f>
        <v>24.706666666666667</v>
      </c>
      <c r="AB6" s="130" t="s">
        <v>456</v>
      </c>
    </row>
    <row r="7" spans="1:32" ht="15">
      <c r="A7" s="130">
        <v>2013</v>
      </c>
      <c r="B7" s="130">
        <v>386.4</v>
      </c>
      <c r="D7" s="130">
        <f t="shared" ref="D7:D13" si="0">M$5*K7*24/277/30</f>
        <v>280.86931407942234</v>
      </c>
      <c r="E7" s="130">
        <f t="shared" ref="E7:E13" si="1">B7/K7*30*277/24</f>
        <v>45.399049881235157</v>
      </c>
      <c r="F7" s="130">
        <v>257.60000000000002</v>
      </c>
      <c r="G7" s="130">
        <f t="shared" ref="G7:G13" si="2">F7*277/1000</f>
        <v>71.355200000000011</v>
      </c>
      <c r="I7" s="131"/>
      <c r="K7" s="132">
        <v>2947</v>
      </c>
      <c r="L7" s="130">
        <f t="shared" ref="L7:L13" si="3">(B7+F7)*277</f>
        <v>178388</v>
      </c>
      <c r="M7" s="130">
        <v>3473</v>
      </c>
      <c r="N7" s="130" t="s">
        <v>455</v>
      </c>
      <c r="O7" s="130">
        <f>P7/O6</f>
        <v>13.622307692307693</v>
      </c>
      <c r="P7" s="130">
        <v>177.09</v>
      </c>
      <c r="Q7" s="130">
        <f>SUM(O6:O7)*2</f>
        <v>53.244615384615386</v>
      </c>
      <c r="S7" s="130">
        <v>2</v>
      </c>
      <c r="T7" s="130">
        <v>28</v>
      </c>
      <c r="U7" s="130">
        <v>-0.1</v>
      </c>
      <c r="V7" s="130">
        <v>30.492000000000001</v>
      </c>
      <c r="W7" s="130">
        <f>(W$4-U7)*W$3*T7*24/30/277</f>
        <v>56.638844765342974</v>
      </c>
      <c r="X7" s="130">
        <v>56.585000000000001</v>
      </c>
      <c r="Y7" s="137">
        <f t="shared" ref="Y7:Y18" si="4">V7/0.0036/24/T7</f>
        <v>12.604166666666668</v>
      </c>
      <c r="Z7" s="137">
        <f t="shared" ref="Z7:Z18" si="5">X7/0.0036/24/T7</f>
        <v>23.389963624338627</v>
      </c>
      <c r="AA7" s="137">
        <f t="shared" ref="AA7:AA18" si="6">W$3*(W$4-U7)/30</f>
        <v>23.346666666666671</v>
      </c>
      <c r="AB7" s="130" t="s">
        <v>454</v>
      </c>
    </row>
    <row r="8" spans="1:32" ht="15">
      <c r="A8" s="130">
        <v>2014</v>
      </c>
      <c r="B8" s="130">
        <v>284.39999999999998</v>
      </c>
      <c r="D8" s="130">
        <f t="shared" si="0"/>
        <v>225.10527075812269</v>
      </c>
      <c r="E8" s="130">
        <f t="shared" si="1"/>
        <v>41.692493331639788</v>
      </c>
      <c r="F8" s="130">
        <v>186.6</v>
      </c>
      <c r="G8" s="130">
        <f t="shared" si="2"/>
        <v>51.688199999999995</v>
      </c>
      <c r="I8" s="131"/>
      <c r="K8" s="132">
        <v>2361.8999999999996</v>
      </c>
      <c r="L8" s="130">
        <f t="shared" si="3"/>
        <v>130467</v>
      </c>
      <c r="M8" s="130">
        <v>180.20400000000001</v>
      </c>
      <c r="N8" s="130" t="s">
        <v>453</v>
      </c>
      <c r="O8" s="130">
        <v>31.4</v>
      </c>
      <c r="S8" s="130">
        <v>3</v>
      </c>
      <c r="T8" s="130">
        <v>31</v>
      </c>
      <c r="U8" s="130">
        <v>3.7</v>
      </c>
      <c r="V8" s="130">
        <v>16.756</v>
      </c>
      <c r="W8" s="130">
        <f>(W$4-U8)*W$3*T8*24/30/277</f>
        <v>51.139927797833941</v>
      </c>
      <c r="X8" s="130">
        <v>50.936999999999998</v>
      </c>
      <c r="Y8" s="137">
        <f t="shared" si="4"/>
        <v>6.2559737156511348</v>
      </c>
      <c r="Z8" s="137">
        <f t="shared" si="5"/>
        <v>19.017697132616487</v>
      </c>
      <c r="AA8" s="137">
        <f t="shared" si="6"/>
        <v>19.040000000000003</v>
      </c>
    </row>
    <row r="9" spans="1:32" ht="15">
      <c r="A9" s="130">
        <v>2015</v>
      </c>
      <c r="B9" s="130">
        <v>249.12</v>
      </c>
      <c r="C9" s="134"/>
      <c r="D9" s="130">
        <f t="shared" si="0"/>
        <v>258.8820216606498</v>
      </c>
      <c r="E9" s="130">
        <f t="shared" si="1"/>
        <v>31.755623458380892</v>
      </c>
      <c r="F9" s="130">
        <v>166.08</v>
      </c>
      <c r="G9" s="130">
        <f t="shared" si="2"/>
        <v>46.004160000000006</v>
      </c>
      <c r="H9" s="130">
        <v>688.28</v>
      </c>
      <c r="I9" s="131">
        <v>171464.31</v>
      </c>
      <c r="J9" s="130">
        <f>H9/277</f>
        <v>2.4847653429602885</v>
      </c>
      <c r="K9" s="132">
        <v>2716.2999999999997</v>
      </c>
      <c r="L9" s="130">
        <f t="shared" si="3"/>
        <v>115010.40000000001</v>
      </c>
      <c r="M9" s="130">
        <f>M8*277/M7/24</f>
        <v>0.59886395047509355</v>
      </c>
      <c r="N9" s="130" t="s">
        <v>452</v>
      </c>
      <c r="O9" s="130">
        <f>O6*O7*O8</f>
        <v>5560.6260000000002</v>
      </c>
      <c r="P9" s="130" t="s">
        <v>3</v>
      </c>
      <c r="S9" s="130">
        <v>4</v>
      </c>
      <c r="T9" s="130">
        <v>30</v>
      </c>
      <c r="U9" s="130">
        <v>8.1</v>
      </c>
      <c r="V9" s="130">
        <v>3.19</v>
      </c>
      <c r="W9" s="130">
        <f>(W$4-U9)*W$3*T9*24/30/277</f>
        <v>36.528519855595668</v>
      </c>
      <c r="X9" s="130">
        <v>36.171999999999997</v>
      </c>
      <c r="Y9" s="137">
        <f t="shared" si="4"/>
        <v>1.2307098765432098</v>
      </c>
      <c r="Z9" s="137">
        <f t="shared" si="5"/>
        <v>13.955246913580247</v>
      </c>
      <c r="AA9" s="137">
        <f t="shared" si="6"/>
        <v>14.053333333333335</v>
      </c>
      <c r="AB9" s="130">
        <v>788.66099999999994</v>
      </c>
      <c r="AC9" s="130" t="s">
        <v>451</v>
      </c>
    </row>
    <row r="10" spans="1:32" ht="15">
      <c r="A10" s="130">
        <v>2016</v>
      </c>
      <c r="B10" s="130">
        <v>274.2</v>
      </c>
      <c r="C10" s="133">
        <v>278.82541516245476</v>
      </c>
      <c r="D10" s="130">
        <f t="shared" si="0"/>
        <v>275.62743682310469</v>
      </c>
      <c r="E10" s="130">
        <f t="shared" si="1"/>
        <v>32.829097510373437</v>
      </c>
      <c r="F10" s="130">
        <v>182.8</v>
      </c>
      <c r="G10" s="130">
        <f t="shared" si="2"/>
        <v>50.635600000000004</v>
      </c>
      <c r="H10" s="130">
        <v>676.89</v>
      </c>
      <c r="I10" s="131">
        <v>185603.23</v>
      </c>
      <c r="J10" s="130">
        <f>H10/277</f>
        <v>2.4436462093862814</v>
      </c>
      <c r="K10" s="132">
        <v>2892</v>
      </c>
      <c r="L10" s="130">
        <f t="shared" si="3"/>
        <v>126589</v>
      </c>
      <c r="M10" s="130">
        <f>30*M9</f>
        <v>17.965918514252806</v>
      </c>
      <c r="N10" s="130" t="s">
        <v>450</v>
      </c>
      <c r="O10" s="130">
        <v>5568.8</v>
      </c>
      <c r="P10" s="130" t="s">
        <v>3</v>
      </c>
      <c r="S10" s="130">
        <v>5</v>
      </c>
      <c r="T10" s="130">
        <v>31</v>
      </c>
      <c r="U10" s="130">
        <v>13.3</v>
      </c>
      <c r="X10" s="130">
        <v>21.353000000000002</v>
      </c>
      <c r="Y10" s="137"/>
      <c r="Z10" s="137">
        <f t="shared" si="5"/>
        <v>7.9722968936678624</v>
      </c>
      <c r="AA10" s="137">
        <f t="shared" si="6"/>
        <v>8.16</v>
      </c>
      <c r="AB10" s="130">
        <v>384.685</v>
      </c>
      <c r="AC10" s="130" t="s">
        <v>449</v>
      </c>
    </row>
    <row r="11" spans="1:32" ht="15">
      <c r="A11" s="130">
        <v>2017</v>
      </c>
      <c r="B11" s="130">
        <v>288</v>
      </c>
      <c r="C11" s="133">
        <v>279.68670036101094</v>
      </c>
      <c r="D11" s="130">
        <f t="shared" si="0"/>
        <v>284.82454873646213</v>
      </c>
      <c r="E11" s="130">
        <f t="shared" si="1"/>
        <v>33.367910322904457</v>
      </c>
      <c r="F11" s="130">
        <v>180</v>
      </c>
      <c r="G11" s="130">
        <f t="shared" si="2"/>
        <v>49.86</v>
      </c>
      <c r="H11" s="130">
        <v>646.53</v>
      </c>
      <c r="I11" s="131">
        <v>186200.64</v>
      </c>
      <c r="J11" s="130">
        <f>H11/277</f>
        <v>2.3340433212996388</v>
      </c>
      <c r="K11" s="132">
        <v>2988.5000000000005</v>
      </c>
      <c r="L11" s="130">
        <f t="shared" si="3"/>
        <v>129636</v>
      </c>
      <c r="O11" s="130">
        <v>1925.6</v>
      </c>
      <c r="P11" s="130" t="s">
        <v>407</v>
      </c>
      <c r="S11" s="130">
        <v>6</v>
      </c>
      <c r="T11" s="130">
        <v>30</v>
      </c>
      <c r="U11" s="130">
        <v>16.100000000000001</v>
      </c>
      <c r="X11" s="130">
        <v>12.313000000000001</v>
      </c>
      <c r="Y11" s="137"/>
      <c r="Z11" s="137">
        <f t="shared" si="5"/>
        <v>4.7503858024691361</v>
      </c>
      <c r="AA11" s="137">
        <f t="shared" si="6"/>
        <v>4.9866666666666655</v>
      </c>
      <c r="AB11" s="130">
        <f>SUM(AB9:AB10)</f>
        <v>1173.346</v>
      </c>
      <c r="AC11" s="130" t="s">
        <v>448</v>
      </c>
    </row>
    <row r="12" spans="1:32" ht="15">
      <c r="A12" s="130">
        <v>2018</v>
      </c>
      <c r="B12" s="130">
        <v>262</v>
      </c>
      <c r="C12" s="133">
        <v>254.94041877256313</v>
      </c>
      <c r="D12" s="130">
        <f t="shared" si="0"/>
        <v>244.67176895306858</v>
      </c>
      <c r="E12" s="130">
        <f t="shared" si="1"/>
        <v>35.33713773761297</v>
      </c>
      <c r="F12" s="130">
        <v>176</v>
      </c>
      <c r="G12" s="130">
        <f t="shared" si="2"/>
        <v>48.752000000000002</v>
      </c>
      <c r="H12" s="130">
        <v>655.45</v>
      </c>
      <c r="I12" s="131">
        <v>171727.9</v>
      </c>
      <c r="J12" s="130">
        <f>H12/277</f>
        <v>2.3662454873646213</v>
      </c>
      <c r="K12" s="132">
        <v>2567.1999999999998</v>
      </c>
      <c r="L12" s="130">
        <f t="shared" si="3"/>
        <v>121326</v>
      </c>
      <c r="O12" s="130">
        <f>O11/7</f>
        <v>275.08571428571429</v>
      </c>
      <c r="P12" s="130" t="s">
        <v>447</v>
      </c>
      <c r="S12" s="130">
        <v>7</v>
      </c>
      <c r="T12" s="130">
        <v>31</v>
      </c>
      <c r="U12" s="130">
        <v>18</v>
      </c>
      <c r="X12" s="130">
        <v>6.8689999999999998</v>
      </c>
      <c r="Y12" s="137"/>
      <c r="Z12" s="137">
        <f t="shared" si="5"/>
        <v>2.5645908004778977</v>
      </c>
      <c r="AA12" s="137">
        <f t="shared" si="6"/>
        <v>2.8333333333333335</v>
      </c>
      <c r="AB12" s="130">
        <f>30*AB11/1000</f>
        <v>35.200379999999996</v>
      </c>
      <c r="AC12" s="130" t="s">
        <v>446</v>
      </c>
    </row>
    <row r="13" spans="1:32" ht="15">
      <c r="A13" s="130">
        <v>2019</v>
      </c>
      <c r="B13" s="130">
        <v>247</v>
      </c>
      <c r="C13" s="133">
        <v>251.61883032490999</v>
      </c>
      <c r="D13" s="130">
        <f t="shared" si="0"/>
        <v>252.07711191335738</v>
      </c>
      <c r="E13" s="130">
        <f t="shared" si="1"/>
        <v>32.335343491247301</v>
      </c>
      <c r="F13" s="130">
        <v>176</v>
      </c>
      <c r="G13" s="130">
        <f t="shared" si="2"/>
        <v>48.752000000000002</v>
      </c>
      <c r="H13" s="130">
        <v>666.77</v>
      </c>
      <c r="I13" s="131">
        <v>164692.19</v>
      </c>
      <c r="J13" s="130">
        <f>H13/277</f>
        <v>2.4071119133574008</v>
      </c>
      <c r="K13" s="132">
        <v>2644.9</v>
      </c>
      <c r="L13" s="130">
        <f t="shared" si="3"/>
        <v>117171</v>
      </c>
      <c r="M13" s="130" t="s">
        <v>445</v>
      </c>
      <c r="S13" s="130">
        <v>8</v>
      </c>
      <c r="T13" s="130">
        <v>31</v>
      </c>
      <c r="U13" s="130">
        <v>17.899999999999999</v>
      </c>
      <c r="X13" s="130">
        <v>7.1769999999999996</v>
      </c>
      <c r="Y13" s="137"/>
      <c r="Z13" s="137">
        <f t="shared" si="5"/>
        <v>2.6795848267622464</v>
      </c>
      <c r="AA13" s="137">
        <f t="shared" si="6"/>
        <v>2.9466666666666681</v>
      </c>
      <c r="AB13" s="136" t="s">
        <v>479</v>
      </c>
    </row>
    <row r="14" spans="1:32">
      <c r="A14" s="130" t="s">
        <v>444</v>
      </c>
      <c r="F14" s="131">
        <v>1320.32</v>
      </c>
      <c r="I14" s="131">
        <v>879688.27</v>
      </c>
      <c r="M14" s="130">
        <v>3885.71</v>
      </c>
      <c r="N14" s="130" t="s">
        <v>3</v>
      </c>
      <c r="S14" s="130">
        <v>9</v>
      </c>
      <c r="T14" s="130">
        <v>30</v>
      </c>
      <c r="U14" s="130">
        <v>13.5</v>
      </c>
      <c r="X14" s="130">
        <v>20.067</v>
      </c>
      <c r="Y14" s="137"/>
      <c r="Z14" s="137">
        <f t="shared" si="5"/>
        <v>7.7418981481481488</v>
      </c>
      <c r="AA14" s="137">
        <f t="shared" si="6"/>
        <v>7.9333333333333336</v>
      </c>
    </row>
    <row r="15" spans="1:32">
      <c r="I15" s="131">
        <f>SUM(I9:I13)</f>
        <v>879688.27</v>
      </c>
      <c r="M15" s="130">
        <v>0.79200000000000004</v>
      </c>
      <c r="S15" s="130">
        <v>10</v>
      </c>
      <c r="T15" s="130">
        <v>31</v>
      </c>
      <c r="U15" s="130">
        <v>8.3000000000000007</v>
      </c>
      <c r="V15" s="130">
        <v>7.7670000000000003</v>
      </c>
      <c r="W15" s="130">
        <f>(W$4-U15)*W$3*T15*24/30/277</f>
        <v>37.137328519855593</v>
      </c>
      <c r="X15" s="130">
        <v>36.761000000000003</v>
      </c>
      <c r="Y15" s="137">
        <f t="shared" si="4"/>
        <v>2.8998655913978495</v>
      </c>
      <c r="Z15" s="137">
        <f t="shared" si="5"/>
        <v>13.724985065710875</v>
      </c>
      <c r="AA15" s="137">
        <f t="shared" si="6"/>
        <v>13.826666666666664</v>
      </c>
    </row>
    <row r="16" spans="1:32" ht="15">
      <c r="F16" s="137"/>
      <c r="G16" s="137"/>
      <c r="M16" s="130">
        <f>M14/M15</f>
        <v>4906.1994949494947</v>
      </c>
      <c r="N16" s="130" t="s">
        <v>443</v>
      </c>
      <c r="S16" s="130">
        <v>11</v>
      </c>
      <c r="T16" s="130">
        <v>30</v>
      </c>
      <c r="U16" s="130">
        <v>3.2</v>
      </c>
      <c r="V16" s="130">
        <v>27.091000000000001</v>
      </c>
      <c r="W16" s="130">
        <f>(W$4-U16)*W$3*T16*24/30/277</f>
        <v>50.963176895306859</v>
      </c>
      <c r="X16" s="130">
        <v>50.784999999999997</v>
      </c>
      <c r="Y16" s="137">
        <f t="shared" si="4"/>
        <v>10.451774691358025</v>
      </c>
      <c r="Z16" s="137">
        <f t="shared" si="5"/>
        <v>19.592978395061728</v>
      </c>
      <c r="AA16" s="137">
        <f t="shared" si="6"/>
        <v>19.606666666666669</v>
      </c>
      <c r="AD16" s="17">
        <v>42125</v>
      </c>
      <c r="AE16" s="117" t="s">
        <v>130</v>
      </c>
    </row>
    <row r="17" spans="6:31" ht="15">
      <c r="G17" s="137"/>
      <c r="S17" s="130">
        <v>12</v>
      </c>
      <c r="T17" s="130">
        <v>31</v>
      </c>
      <c r="U17" s="130">
        <v>0.5</v>
      </c>
      <c r="V17" s="130">
        <v>38.850999999999999</v>
      </c>
      <c r="W17" s="130">
        <f>(W$4-U17)*W$3*T17*24/30/277</f>
        <v>60.880866425992778</v>
      </c>
      <c r="X17" s="130">
        <v>60.798999999999999</v>
      </c>
      <c r="Y17" s="137">
        <f t="shared" si="4"/>
        <v>14.505301672640384</v>
      </c>
      <c r="Z17" s="137">
        <f t="shared" si="5"/>
        <v>22.699746117084828</v>
      </c>
      <c r="AA17" s="137">
        <f t="shared" si="6"/>
        <v>22.666666666666668</v>
      </c>
      <c r="AD17" s="17">
        <v>42156</v>
      </c>
      <c r="AE17" s="117">
        <v>8.4700000000000006</v>
      </c>
    </row>
    <row r="18" spans="6:31" ht="15">
      <c r="F18" s="137"/>
      <c r="G18" s="137"/>
      <c r="S18" s="137">
        <v>13</v>
      </c>
      <c r="T18" s="137">
        <v>31</v>
      </c>
      <c r="U18" s="137">
        <v>-1.3</v>
      </c>
      <c r="V18" s="137">
        <v>42.781999999999996</v>
      </c>
      <c r="W18" s="137">
        <f>(W$4-U18)*W$3*T18*24/30/277</f>
        <v>66.360144404332132</v>
      </c>
      <c r="X18" s="137">
        <v>66.346000000000004</v>
      </c>
      <c r="Y18" s="137">
        <f t="shared" si="4"/>
        <v>15.972968936678614</v>
      </c>
      <c r="Z18" s="137">
        <f t="shared" si="5"/>
        <v>24.770758661887697</v>
      </c>
      <c r="AA18" s="137">
        <f t="shared" si="6"/>
        <v>24.706666666666667</v>
      </c>
      <c r="AD18" s="17">
        <v>42186</v>
      </c>
      <c r="AE18" s="117">
        <v>12.968387096774196</v>
      </c>
    </row>
    <row r="19" spans="6:31" ht="15">
      <c r="S19" s="137"/>
      <c r="T19" s="137" t="s">
        <v>1416</v>
      </c>
      <c r="U19" s="137"/>
      <c r="V19" s="137">
        <f>SUM(V6:V17)</f>
        <v>166.929</v>
      </c>
      <c r="W19" s="137"/>
      <c r="X19" s="137">
        <f t="shared" ref="X19:Y19" si="7">SUM(X6:X17)</f>
        <v>426.16399999999999</v>
      </c>
      <c r="Y19" s="137">
        <f t="shared" si="7"/>
        <v>63.920761150935888</v>
      </c>
      <c r="Z19" s="137">
        <f>SUM(Z6:Z17)</f>
        <v>162.86013238180578</v>
      </c>
      <c r="AA19" s="137">
        <f>SUM(AA6:AA17)</f>
        <v>164.10666666666665</v>
      </c>
      <c r="AD19" s="17">
        <v>42217</v>
      </c>
      <c r="AE19" s="117">
        <v>16.329999999999998</v>
      </c>
    </row>
    <row r="20" spans="6:31" ht="15">
      <c r="S20" s="137"/>
      <c r="T20" s="136" t="s">
        <v>238</v>
      </c>
      <c r="U20" s="136"/>
      <c r="V20" s="136"/>
      <c r="W20" s="136">
        <f>V19/X19</f>
        <v>0.39170131686393034</v>
      </c>
      <c r="X20" s="136"/>
      <c r="Y20" s="136"/>
      <c r="Z20" s="136">
        <f>Y19/Z19</f>
        <v>0.39248869699480188</v>
      </c>
      <c r="AD20" s="17">
        <v>42248</v>
      </c>
      <c r="AE20" s="117">
        <v>20.510322580645166</v>
      </c>
    </row>
    <row r="21" spans="6:31" ht="15">
      <c r="S21" s="137"/>
      <c r="T21" s="137"/>
      <c r="U21" s="137"/>
      <c r="V21" s="137"/>
      <c r="W21" s="137"/>
      <c r="X21" s="137"/>
      <c r="AD21" s="17">
        <v>42278</v>
      </c>
      <c r="AE21" s="117">
        <v>21.700645161290325</v>
      </c>
    </row>
    <row r="22" spans="6:31" ht="15">
      <c r="Q22" s="137" t="s">
        <v>978</v>
      </c>
      <c r="S22" s="137"/>
      <c r="T22" s="137" t="s">
        <v>506</v>
      </c>
      <c r="U22" s="137">
        <v>2015</v>
      </c>
      <c r="V22" s="137">
        <v>2016</v>
      </c>
      <c r="W22" s="137">
        <v>2017</v>
      </c>
      <c r="X22" s="137">
        <v>2018</v>
      </c>
      <c r="AD22" s="17">
        <v>42309</v>
      </c>
      <c r="AE22" s="117">
        <v>13.303333333333331</v>
      </c>
    </row>
    <row r="23" spans="6:31" ht="15">
      <c r="S23" s="137">
        <v>1</v>
      </c>
      <c r="T23" s="137">
        <v>-1.3</v>
      </c>
      <c r="U23" s="117">
        <v>-1.0348387096774316</v>
      </c>
      <c r="V23" s="117">
        <v>-5.3735483870967133</v>
      </c>
      <c r="W23" s="117">
        <v>-5.3735483870967133</v>
      </c>
      <c r="X23" s="117">
        <v>2.4683870967742663</v>
      </c>
      <c r="AD23" s="17">
        <v>42339</v>
      </c>
      <c r="AE23" s="117">
        <v>7.8780645161289815</v>
      </c>
    </row>
    <row r="24" spans="6:31" ht="15">
      <c r="S24" s="137">
        <v>2</v>
      </c>
      <c r="T24" s="137">
        <v>-0.1</v>
      </c>
      <c r="U24" s="117">
        <v>2.6234482758620508</v>
      </c>
      <c r="V24" s="117">
        <v>1.5164285714286703</v>
      </c>
      <c r="W24" s="117">
        <v>1.5164285714286703</v>
      </c>
      <c r="X24" s="117">
        <v>-3.3299999999999272</v>
      </c>
      <c r="AD24" s="17">
        <v>42370</v>
      </c>
      <c r="AE24" s="117">
        <v>6.1066666666666913</v>
      </c>
    </row>
    <row r="25" spans="6:31" ht="15">
      <c r="S25" s="137">
        <v>3</v>
      </c>
      <c r="T25" s="137">
        <v>3.7</v>
      </c>
      <c r="U25" s="117">
        <v>3.6232258064516181</v>
      </c>
      <c r="V25" s="117">
        <v>6.7683870967743012</v>
      </c>
      <c r="W25" s="117">
        <v>6.7683870967743012</v>
      </c>
      <c r="X25" s="117">
        <v>1.6038709677420318</v>
      </c>
      <c r="AD25" s="17">
        <v>42401</v>
      </c>
      <c r="AE25" s="117">
        <v>4.1232258064516181</v>
      </c>
    </row>
    <row r="26" spans="6:31" ht="15">
      <c r="S26" s="137">
        <v>4</v>
      </c>
      <c r="T26" s="137">
        <v>8.1</v>
      </c>
      <c r="U26" s="117">
        <v>8.2466666666666235</v>
      </c>
      <c r="V26" s="117">
        <v>7.2966666666667459</v>
      </c>
      <c r="W26" s="117">
        <v>7.2966666666667459</v>
      </c>
      <c r="X26" s="117">
        <v>13.213333333333383</v>
      </c>
      <c r="AD26" s="17">
        <v>42430</v>
      </c>
      <c r="AE26" s="117">
        <v>-1.0348387096774316</v>
      </c>
    </row>
    <row r="27" spans="6:31" ht="15">
      <c r="S27" s="137">
        <v>5</v>
      </c>
      <c r="T27" s="137">
        <v>13.3</v>
      </c>
      <c r="U27" s="117">
        <v>13.84580645161294</v>
      </c>
      <c r="V27" s="117">
        <v>14.310322580645217</v>
      </c>
      <c r="W27" s="117">
        <v>14.310322580645217</v>
      </c>
      <c r="X27" s="117">
        <v>16.674838709677481</v>
      </c>
      <c r="AD27" s="17">
        <v>42461</v>
      </c>
      <c r="AE27" s="117">
        <v>2.6234482758620508</v>
      </c>
    </row>
    <row r="28" spans="6:31" ht="15">
      <c r="S28" s="137">
        <v>6</v>
      </c>
      <c r="T28" s="137">
        <v>16.100000000000001</v>
      </c>
      <c r="U28" s="117">
        <v>17.706666666666692</v>
      </c>
      <c r="V28" s="117">
        <v>18.493333333333339</v>
      </c>
      <c r="W28" s="117">
        <v>18.493333333333339</v>
      </c>
      <c r="X28" s="117">
        <v>17.980000000000111</v>
      </c>
      <c r="AD28" s="17">
        <v>42491</v>
      </c>
      <c r="AE28" s="117">
        <v>3.6232258064516181</v>
      </c>
    </row>
    <row r="29" spans="6:31" ht="15">
      <c r="S29" s="137">
        <v>7</v>
      </c>
      <c r="T29" s="137">
        <v>18</v>
      </c>
      <c r="U29" s="117">
        <v>19.142580645161292</v>
      </c>
      <c r="V29" s="117">
        <v>19.303870967742085</v>
      </c>
      <c r="W29" s="117">
        <v>19.303870967742085</v>
      </c>
      <c r="X29" s="117">
        <v>21.181290322580789</v>
      </c>
      <c r="AD29" s="17">
        <v>42522</v>
      </c>
      <c r="AE29" s="117">
        <v>8.2466666666666235</v>
      </c>
    </row>
    <row r="30" spans="6:31" ht="15">
      <c r="S30" s="137">
        <v>8</v>
      </c>
      <c r="T30" s="137">
        <v>17.899999999999999</v>
      </c>
      <c r="U30" s="117">
        <v>17.774838709677521</v>
      </c>
      <c r="V30" s="117">
        <v>18.558709677419461</v>
      </c>
      <c r="W30" s="117">
        <v>18.558709677419461</v>
      </c>
      <c r="X30" s="117">
        <v>20.97161290322595</v>
      </c>
      <c r="AD30" s="17">
        <v>42552</v>
      </c>
      <c r="AE30" s="117">
        <v>13.84580645161294</v>
      </c>
    </row>
    <row r="31" spans="6:31" ht="15">
      <c r="S31" s="137">
        <v>9</v>
      </c>
      <c r="T31" s="137">
        <v>13.5</v>
      </c>
      <c r="U31" s="117">
        <v>16.780000000000079</v>
      </c>
      <c r="V31" s="117">
        <v>12.226666666666764</v>
      </c>
      <c r="W31" s="117">
        <v>12.226666666666764</v>
      </c>
      <c r="X31" s="117">
        <v>15.263333333333321</v>
      </c>
      <c r="AD31" s="17">
        <v>42583</v>
      </c>
      <c r="AE31" s="117">
        <v>17.706666666666692</v>
      </c>
    </row>
    <row r="32" spans="6:31" ht="15">
      <c r="S32" s="137">
        <v>10</v>
      </c>
      <c r="T32" s="137">
        <v>8.3000000000000007</v>
      </c>
      <c r="U32" s="117">
        <v>7.6458064516129758</v>
      </c>
      <c r="V32" s="117">
        <v>10.029677419354664</v>
      </c>
      <c r="W32" s="117">
        <v>10.029677419354664</v>
      </c>
      <c r="X32" s="117">
        <v>10.23935483870968</v>
      </c>
      <c r="AD32" s="17">
        <v>42614</v>
      </c>
      <c r="AE32" s="117">
        <v>19.142580645161292</v>
      </c>
    </row>
    <row r="33" spans="19:31" ht="15">
      <c r="S33" s="137">
        <v>11</v>
      </c>
      <c r="T33" s="137">
        <v>3.2</v>
      </c>
      <c r="U33" s="117">
        <v>2.5100000000000362</v>
      </c>
      <c r="V33" s="117">
        <v>3.8266666666666422</v>
      </c>
      <c r="W33" s="117">
        <v>3.8266666666666422</v>
      </c>
      <c r="X33" s="117">
        <v>3.5066666666668729</v>
      </c>
      <c r="AD33" s="17">
        <v>42644</v>
      </c>
      <c r="AE33" s="117">
        <v>17.774838709677521</v>
      </c>
    </row>
    <row r="34" spans="19:31" ht="15">
      <c r="S34" s="137">
        <v>12</v>
      </c>
      <c r="T34" s="137">
        <v>0.5</v>
      </c>
      <c r="U34" s="117">
        <v>-0.24451612903222639</v>
      </c>
      <c r="V34" s="117">
        <v>1.5006451612903366</v>
      </c>
      <c r="W34" s="117">
        <v>1.5006451612903366</v>
      </c>
      <c r="X34" s="117">
        <v>2.4490322580646944</v>
      </c>
      <c r="AD34" s="17">
        <v>42675</v>
      </c>
      <c r="AE34" s="117">
        <v>16.780000000000079</v>
      </c>
    </row>
    <row r="35" spans="19:31" ht="15">
      <c r="S35" s="137" t="s">
        <v>507</v>
      </c>
      <c r="T35" s="130">
        <f>SUM(T23:T34)/12</f>
        <v>8.4333333333333318</v>
      </c>
      <c r="U35" s="137">
        <f t="shared" ref="U35:X35" si="8">SUM(U23:U34)/12</f>
        <v>9.0516404029168473</v>
      </c>
      <c r="V35" s="137">
        <f t="shared" si="8"/>
        <v>9.0381522017409583</v>
      </c>
      <c r="W35" s="137">
        <f t="shared" si="8"/>
        <v>9.0381522017409583</v>
      </c>
      <c r="X35" s="137">
        <f t="shared" si="8"/>
        <v>10.185143369175719</v>
      </c>
      <c r="AD35" s="17">
        <v>42705</v>
      </c>
      <c r="AE35" s="117">
        <v>7.6458064516129758</v>
      </c>
    </row>
    <row r="36" spans="19:31" ht="15">
      <c r="AD36" s="17">
        <v>42736</v>
      </c>
      <c r="AE36" s="117">
        <v>2.5100000000000362</v>
      </c>
    </row>
    <row r="37" spans="19:31" ht="15">
      <c r="AD37" s="17">
        <v>42767</v>
      </c>
      <c r="AE37" s="117">
        <v>-0.24451612903222639</v>
      </c>
    </row>
    <row r="38" spans="19:31" ht="15">
      <c r="AD38" s="17">
        <v>42795</v>
      </c>
      <c r="AE38" s="117">
        <v>-5.3735483870967133</v>
      </c>
    </row>
    <row r="39" spans="19:31" ht="15">
      <c r="AD39" s="17">
        <v>42826</v>
      </c>
      <c r="AE39" s="117">
        <v>1.5164285714286703</v>
      </c>
    </row>
    <row r="40" spans="19:31" ht="15">
      <c r="AD40" s="17">
        <v>42856</v>
      </c>
      <c r="AE40" s="117">
        <v>6.7683870967743012</v>
      </c>
    </row>
    <row r="41" spans="19:31" ht="15">
      <c r="AD41" s="17">
        <v>42887</v>
      </c>
      <c r="AE41" s="117">
        <v>7.2966666666667459</v>
      </c>
    </row>
    <row r="42" spans="19:31" ht="15">
      <c r="AD42" s="17">
        <v>42917</v>
      </c>
      <c r="AE42" s="117">
        <v>14.310322580645217</v>
      </c>
    </row>
    <row r="43" spans="19:31" ht="15">
      <c r="AD43" s="17">
        <v>42948</v>
      </c>
      <c r="AE43" s="117">
        <v>18.493333333333339</v>
      </c>
    </row>
    <row r="44" spans="19:31" ht="15">
      <c r="AD44" s="17">
        <v>42979</v>
      </c>
      <c r="AE44" s="117">
        <v>19.303870967742085</v>
      </c>
    </row>
    <row r="45" spans="19:31" ht="15">
      <c r="AD45" s="17">
        <v>43009</v>
      </c>
      <c r="AE45" s="117">
        <v>18.558709677419461</v>
      </c>
    </row>
    <row r="46" spans="19:31" ht="15">
      <c r="AD46" s="17">
        <v>43040</v>
      </c>
      <c r="AE46" s="117">
        <v>12.226666666666764</v>
      </c>
    </row>
    <row r="47" spans="19:31" ht="15">
      <c r="AD47" s="17">
        <v>43070</v>
      </c>
      <c r="AE47" s="117">
        <v>10.029677419354664</v>
      </c>
    </row>
    <row r="48" spans="19:31" ht="15">
      <c r="AD48" s="17">
        <v>43101</v>
      </c>
      <c r="AE48" s="117">
        <v>3.8266666666666422</v>
      </c>
    </row>
    <row r="49" spans="30:31" ht="15">
      <c r="AD49" s="17">
        <v>43132</v>
      </c>
      <c r="AE49" s="117">
        <v>1.5006451612903366</v>
      </c>
    </row>
    <row r="50" spans="30:31" ht="15">
      <c r="AD50" s="17">
        <v>43160</v>
      </c>
      <c r="AE50" s="117">
        <v>2.4683870967742663</v>
      </c>
    </row>
    <row r="51" spans="30:31" ht="15">
      <c r="AD51" s="17">
        <v>43191</v>
      </c>
      <c r="AE51" s="117">
        <v>-3.3299999999999272</v>
      </c>
    </row>
    <row r="52" spans="30:31" ht="15">
      <c r="AD52" s="17">
        <v>43221</v>
      </c>
      <c r="AE52" s="117">
        <v>1.6038709677420318</v>
      </c>
    </row>
    <row r="53" spans="30:31" ht="15">
      <c r="AD53" s="17">
        <v>43252</v>
      </c>
      <c r="AE53" s="117">
        <v>13.213333333333383</v>
      </c>
    </row>
    <row r="54" spans="30:31" ht="15">
      <c r="AD54" s="17">
        <v>43282</v>
      </c>
      <c r="AE54" s="117">
        <v>16.674838709677481</v>
      </c>
    </row>
    <row r="55" spans="30:31" ht="15">
      <c r="AD55" s="17">
        <v>43313</v>
      </c>
      <c r="AE55" s="117">
        <v>17.980000000000111</v>
      </c>
    </row>
    <row r="56" spans="30:31" ht="15">
      <c r="AD56" s="17">
        <v>43344</v>
      </c>
      <c r="AE56" s="117">
        <v>21.181290322580789</v>
      </c>
    </row>
    <row r="57" spans="30:31" ht="15">
      <c r="AD57" s="17">
        <v>43374</v>
      </c>
      <c r="AE57" s="117">
        <v>20.97161290322595</v>
      </c>
    </row>
    <row r="58" spans="30:31" ht="15">
      <c r="AD58" s="17">
        <v>43405</v>
      </c>
      <c r="AE58" s="117">
        <v>15.263333333333321</v>
      </c>
    </row>
    <row r="59" spans="30:31" ht="15">
      <c r="AD59" s="17">
        <v>43435</v>
      </c>
      <c r="AE59" s="117">
        <v>10.23935483870968</v>
      </c>
    </row>
    <row r="60" spans="30:31" ht="15">
      <c r="AD60" s="17">
        <v>43466</v>
      </c>
      <c r="AE60" s="117">
        <v>3.5066666666668729</v>
      </c>
    </row>
    <row r="61" spans="30:31" ht="15">
      <c r="AD61" s="17">
        <v>43497</v>
      </c>
      <c r="AE61" s="117">
        <v>2.4490322580646944</v>
      </c>
    </row>
    <row r="62" spans="30:31" ht="15">
      <c r="AD62" s="17">
        <v>43525</v>
      </c>
      <c r="AE62" s="117">
        <v>-0.79290322580639061</v>
      </c>
    </row>
    <row r="63" spans="30:31" ht="15">
      <c r="AD63" s="17">
        <v>43556</v>
      </c>
      <c r="AE63" s="117">
        <v>2.2878571428571894</v>
      </c>
    </row>
    <row r="64" spans="30:31" ht="15">
      <c r="AD64" s="17">
        <v>43586</v>
      </c>
      <c r="AE64" s="117">
        <v>6.5812903225806592</v>
      </c>
    </row>
    <row r="65" spans="30:31" ht="15">
      <c r="AD65" s="17">
        <v>43617</v>
      </c>
      <c r="AE65" s="117">
        <v>10.080000000000171</v>
      </c>
    </row>
    <row r="66" spans="30:31" ht="15">
      <c r="AD66" s="17">
        <v>43647</v>
      </c>
      <c r="AE66" s="117">
        <v>11.513548387096835</v>
      </c>
    </row>
    <row r="67" spans="30:31" ht="15">
      <c r="AD67" s="17">
        <v>43678</v>
      </c>
      <c r="AE67" s="117">
        <v>21.273333333333358</v>
      </c>
    </row>
    <row r="68" spans="30:31" ht="15">
      <c r="AD68" s="17">
        <v>43709</v>
      </c>
      <c r="AE68" s="117">
        <v>19.44903225806452</v>
      </c>
    </row>
    <row r="69" spans="30:31" ht="15">
      <c r="AD69" s="17">
        <v>43739</v>
      </c>
      <c r="AE69" s="117">
        <v>19.552258064516213</v>
      </c>
    </row>
    <row r="70" spans="30:31" ht="15">
      <c r="AD70" s="17">
        <v>43770</v>
      </c>
      <c r="AE70" s="117">
        <v>13.896666666666594</v>
      </c>
    </row>
    <row r="71" spans="30:31" ht="15">
      <c r="AD71" s="17">
        <v>43800</v>
      </c>
      <c r="AE71" s="117">
        <v>9.4296774193544781</v>
      </c>
    </row>
    <row r="72" spans="30:31" ht="15">
      <c r="AD72" s="17">
        <v>43831</v>
      </c>
      <c r="AE72" s="117">
        <v>5.3999999999996362</v>
      </c>
    </row>
    <row r="73" spans="30:31" ht="15">
      <c r="AD73" s="17">
        <v>43862</v>
      </c>
      <c r="AE73" s="117">
        <v>2.2812903225803307</v>
      </c>
    </row>
    <row r="74" spans="30:31" ht="15">
      <c r="AD74" s="17">
        <v>43891</v>
      </c>
      <c r="AE74" s="117">
        <v>1.0683870967740434</v>
      </c>
    </row>
    <row r="75" spans="30:31" ht="15">
      <c r="AD75" s="17">
        <v>43922</v>
      </c>
      <c r="AE75" s="117">
        <v>4.4165517241374896</v>
      </c>
    </row>
    <row r="76" spans="30:31" ht="15">
      <c r="AD76" s="17">
        <v>43952</v>
      </c>
      <c r="AE76" s="117">
        <v>4.2070967741931398</v>
      </c>
    </row>
    <row r="77" spans="30:31" ht="15">
      <c r="AD77" s="17">
        <v>43983</v>
      </c>
      <c r="AE77" s="117">
        <v>10.179999999999442</v>
      </c>
    </row>
    <row r="78" spans="30:31" ht="15">
      <c r="AD78" s="17">
        <v>44013</v>
      </c>
      <c r="AE78" s="117">
        <v>11.610322580644871</v>
      </c>
    </row>
    <row r="79" spans="30:31" ht="15">
      <c r="AD79" s="17">
        <v>44044</v>
      </c>
      <c r="AE79" s="117">
        <v>17.039999999999782</v>
      </c>
    </row>
    <row r="80" spans="30:31" ht="15">
      <c r="AD80" s="17">
        <v>44075</v>
      </c>
      <c r="AE80" s="117">
        <v>18.645806451612565</v>
      </c>
    </row>
    <row r="81" spans="1:31" ht="15">
      <c r="AD81" s="17">
        <v>44105</v>
      </c>
      <c r="AE81" s="117">
        <v>19.384516129031969</v>
      </c>
    </row>
    <row r="86" spans="1:31" ht="15">
      <c r="A86" s="138" t="s">
        <v>516</v>
      </c>
      <c r="B86" s="138"/>
    </row>
    <row r="87" spans="1:31" ht="15">
      <c r="A87" s="138" t="s">
        <v>517</v>
      </c>
      <c r="B87" s="138"/>
    </row>
    <row r="88" spans="1:31" ht="15">
      <c r="A88" s="138" t="s">
        <v>518</v>
      </c>
      <c r="B88" s="138"/>
    </row>
    <row r="89" spans="1:31" ht="15">
      <c r="A89" s="138" t="s">
        <v>519</v>
      </c>
      <c r="B89" s="138"/>
    </row>
    <row r="90" spans="1:31" ht="15">
      <c r="A90" s="138" t="s">
        <v>520</v>
      </c>
      <c r="B90" s="138"/>
    </row>
    <row r="91" spans="1:31" ht="15">
      <c r="A91" s="138"/>
      <c r="B91" s="138"/>
    </row>
    <row r="92" spans="1:31" ht="15">
      <c r="A92" s="138"/>
      <c r="B92" s="138"/>
    </row>
    <row r="93" spans="1:31" ht="15">
      <c r="A93" s="138" t="s">
        <v>521</v>
      </c>
      <c r="B93" s="138"/>
    </row>
    <row r="94" spans="1:31" ht="15">
      <c r="A94" s="138" t="s">
        <v>522</v>
      </c>
      <c r="B94" s="138"/>
    </row>
    <row r="95" spans="1:31" ht="15">
      <c r="A95" s="138" t="s">
        <v>523</v>
      </c>
      <c r="B95" s="138"/>
    </row>
    <row r="96" spans="1:31" ht="15">
      <c r="A96" s="138" t="s">
        <v>524</v>
      </c>
      <c r="B96" s="138"/>
    </row>
    <row r="97" spans="1:8" ht="15">
      <c r="A97" s="138" t="s">
        <v>525</v>
      </c>
      <c r="B97" s="138"/>
    </row>
    <row r="98" spans="1:8" ht="15">
      <c r="A98" s="138" t="s">
        <v>526</v>
      </c>
      <c r="B98" s="138"/>
    </row>
    <row r="99" spans="1:8" ht="15">
      <c r="A99" s="138" t="s">
        <v>527</v>
      </c>
      <c r="B99" s="138" t="s">
        <v>230</v>
      </c>
      <c r="C99" s="138" t="s">
        <v>975</v>
      </c>
      <c r="D99" s="138" t="s">
        <v>528</v>
      </c>
      <c r="E99" s="138" t="s">
        <v>529</v>
      </c>
      <c r="F99" s="138" t="s">
        <v>530</v>
      </c>
      <c r="G99" s="138" t="s">
        <v>531</v>
      </c>
      <c r="H99" s="138" t="s">
        <v>532</v>
      </c>
    </row>
    <row r="100" spans="1:8" ht="15">
      <c r="A100" s="138" t="s">
        <v>533</v>
      </c>
      <c r="B100" s="138">
        <v>31</v>
      </c>
      <c r="C100" s="138">
        <v>-1.3</v>
      </c>
      <c r="D100" s="138">
        <v>29.5</v>
      </c>
      <c r="E100" s="138">
        <v>123.1</v>
      </c>
      <c r="F100" s="138">
        <v>50.8</v>
      </c>
      <c r="G100" s="138">
        <v>50.8</v>
      </c>
      <c r="H100" s="138">
        <v>74.900000000000006</v>
      </c>
    </row>
    <row r="101" spans="1:8" ht="15">
      <c r="A101" s="138" t="s">
        <v>534</v>
      </c>
      <c r="B101" s="138">
        <v>28</v>
      </c>
      <c r="C101" s="138">
        <v>-0.1</v>
      </c>
      <c r="D101" s="138">
        <v>48.2</v>
      </c>
      <c r="E101" s="138">
        <v>184</v>
      </c>
      <c r="F101" s="138">
        <v>91.8</v>
      </c>
      <c r="G101" s="138">
        <v>91.8</v>
      </c>
      <c r="H101" s="138">
        <v>133.19999999999999</v>
      </c>
    </row>
    <row r="102" spans="1:8" ht="15">
      <c r="A102" s="138" t="s">
        <v>535</v>
      </c>
      <c r="B102" s="138">
        <v>31</v>
      </c>
      <c r="C102" s="138">
        <v>3.7</v>
      </c>
      <c r="D102" s="138">
        <v>91.1</v>
      </c>
      <c r="E102" s="138">
        <v>267.8</v>
      </c>
      <c r="F102" s="138">
        <v>168.8</v>
      </c>
      <c r="G102" s="138">
        <v>168.8</v>
      </c>
      <c r="H102" s="138">
        <v>259.89999999999998</v>
      </c>
    </row>
    <row r="103" spans="1:8" ht="15">
      <c r="A103" s="138" t="s">
        <v>536</v>
      </c>
      <c r="B103" s="138">
        <v>30</v>
      </c>
      <c r="C103" s="138">
        <v>8.1</v>
      </c>
      <c r="D103" s="138">
        <v>129.6</v>
      </c>
      <c r="E103" s="138">
        <v>308.5</v>
      </c>
      <c r="F103" s="138">
        <v>267.10000000000002</v>
      </c>
      <c r="G103" s="138">
        <v>267.10000000000002</v>
      </c>
      <c r="H103" s="138">
        <v>409.7</v>
      </c>
    </row>
    <row r="104" spans="1:8" ht="15">
      <c r="A104" s="138" t="s">
        <v>537</v>
      </c>
      <c r="B104" s="138">
        <v>31</v>
      </c>
      <c r="C104" s="138">
        <v>13.3</v>
      </c>
      <c r="D104" s="138">
        <v>176.8</v>
      </c>
      <c r="E104" s="138">
        <v>313.2</v>
      </c>
      <c r="F104" s="138">
        <v>313.2</v>
      </c>
      <c r="G104" s="138">
        <v>313.2</v>
      </c>
      <c r="H104" s="138">
        <v>535.70000000000005</v>
      </c>
    </row>
    <row r="105" spans="1:8" ht="15">
      <c r="A105" s="138" t="s">
        <v>538</v>
      </c>
      <c r="B105" s="138">
        <v>30</v>
      </c>
      <c r="C105" s="138">
        <v>16.100000000000001</v>
      </c>
      <c r="D105" s="138">
        <v>186.5</v>
      </c>
      <c r="E105" s="138">
        <v>272.2</v>
      </c>
      <c r="F105" s="138">
        <v>324</v>
      </c>
      <c r="G105" s="138">
        <v>324</v>
      </c>
      <c r="H105" s="138">
        <v>526.29999999999995</v>
      </c>
    </row>
    <row r="106" spans="1:8" ht="15">
      <c r="A106" s="138" t="s">
        <v>539</v>
      </c>
      <c r="B106" s="138">
        <v>31</v>
      </c>
      <c r="C106" s="138">
        <v>18</v>
      </c>
      <c r="D106" s="138">
        <v>184.7</v>
      </c>
      <c r="E106" s="138">
        <v>281.2</v>
      </c>
      <c r="F106" s="138">
        <v>302.8</v>
      </c>
      <c r="G106" s="138">
        <v>302.8</v>
      </c>
      <c r="H106" s="138">
        <v>519.5</v>
      </c>
    </row>
    <row r="107" spans="1:8" ht="15">
      <c r="A107" s="138" t="s">
        <v>540</v>
      </c>
      <c r="B107" s="138">
        <v>31</v>
      </c>
      <c r="C107" s="138">
        <v>17.899999999999999</v>
      </c>
      <c r="D107" s="138">
        <v>152.6</v>
      </c>
      <c r="E107" s="138">
        <v>345.6</v>
      </c>
      <c r="F107" s="138">
        <v>289.39999999999998</v>
      </c>
      <c r="G107" s="138">
        <v>289.39999999999998</v>
      </c>
      <c r="H107" s="138">
        <v>490.3</v>
      </c>
    </row>
    <row r="108" spans="1:8" ht="15">
      <c r="A108" s="138" t="s">
        <v>541</v>
      </c>
      <c r="B108" s="138">
        <v>30</v>
      </c>
      <c r="C108" s="138">
        <v>13.5</v>
      </c>
      <c r="D108" s="138">
        <v>103.7</v>
      </c>
      <c r="E108" s="138">
        <v>280.10000000000002</v>
      </c>
      <c r="F108" s="138">
        <v>191.9</v>
      </c>
      <c r="G108" s="138">
        <v>191.9</v>
      </c>
      <c r="H108" s="138">
        <v>313.60000000000002</v>
      </c>
    </row>
    <row r="109" spans="1:8" ht="15">
      <c r="A109" s="138" t="s">
        <v>542</v>
      </c>
      <c r="B109" s="138">
        <v>31</v>
      </c>
      <c r="C109" s="138">
        <v>8.3000000000000007</v>
      </c>
      <c r="D109" s="138">
        <v>67</v>
      </c>
      <c r="E109" s="138">
        <v>267.8</v>
      </c>
      <c r="F109" s="138">
        <v>139.30000000000001</v>
      </c>
      <c r="G109" s="138">
        <v>139.30000000000001</v>
      </c>
      <c r="H109" s="138">
        <v>203.4</v>
      </c>
    </row>
    <row r="110" spans="1:8" ht="15">
      <c r="A110" s="138" t="s">
        <v>543</v>
      </c>
      <c r="B110" s="138">
        <v>30</v>
      </c>
      <c r="C110" s="138">
        <v>3.2</v>
      </c>
      <c r="D110" s="138">
        <v>33.799999999999997</v>
      </c>
      <c r="E110" s="138">
        <v>163.4</v>
      </c>
      <c r="F110" s="138">
        <v>64.8</v>
      </c>
      <c r="G110" s="138">
        <v>64.8</v>
      </c>
      <c r="H110" s="138">
        <v>90.7</v>
      </c>
    </row>
    <row r="111" spans="1:8" ht="15">
      <c r="A111" s="138" t="s">
        <v>544</v>
      </c>
      <c r="B111" s="138">
        <v>31</v>
      </c>
      <c r="C111" s="138">
        <v>0.5</v>
      </c>
      <c r="D111" s="138">
        <v>21.6</v>
      </c>
      <c r="E111" s="138">
        <v>104.4</v>
      </c>
      <c r="F111" s="138">
        <v>40.299999999999997</v>
      </c>
      <c r="G111" s="138">
        <v>40.299999999999997</v>
      </c>
      <c r="H111" s="138">
        <v>53.6</v>
      </c>
    </row>
    <row r="112" spans="1:8" ht="15">
      <c r="A112" s="138" t="s">
        <v>526</v>
      </c>
      <c r="B112" s="138"/>
      <c r="C112" s="138"/>
      <c r="D112" s="138"/>
      <c r="E112" s="138"/>
      <c r="F112" s="138"/>
      <c r="G112" s="138"/>
      <c r="H112" s="138"/>
    </row>
    <row r="113" spans="1:8" ht="15">
      <c r="A113" s="138" t="s">
        <v>548</v>
      </c>
      <c r="B113" s="138"/>
      <c r="C113" s="138"/>
      <c r="D113" s="138" t="s">
        <v>545</v>
      </c>
      <c r="E113" s="138" t="s">
        <v>546</v>
      </c>
      <c r="F113" s="138" t="s">
        <v>547</v>
      </c>
      <c r="G113" s="138" t="s">
        <v>549</v>
      </c>
      <c r="H113" s="138"/>
    </row>
    <row r="114" spans="1:8" ht="15">
      <c r="A114" s="138" t="s">
        <v>533</v>
      </c>
      <c r="B114" s="138">
        <v>31</v>
      </c>
      <c r="C114" s="138">
        <v>-1.3</v>
      </c>
      <c r="D114" s="138">
        <v>29.5</v>
      </c>
      <c r="E114" s="138">
        <v>29.5</v>
      </c>
      <c r="F114" s="138">
        <v>96.5</v>
      </c>
      <c r="G114" s="138">
        <v>96.5</v>
      </c>
      <c r="H114" s="138"/>
    </row>
    <row r="115" spans="1:8" ht="15">
      <c r="A115" s="138" t="s">
        <v>534</v>
      </c>
      <c r="B115" s="138">
        <v>28</v>
      </c>
      <c r="C115" s="138">
        <v>-0.1</v>
      </c>
      <c r="D115" s="138">
        <v>53.3</v>
      </c>
      <c r="E115" s="138">
        <v>53.3</v>
      </c>
      <c r="F115" s="138">
        <v>147.6</v>
      </c>
      <c r="G115" s="138">
        <v>147.6</v>
      </c>
      <c r="H115" s="138"/>
    </row>
    <row r="116" spans="1:8" ht="15">
      <c r="A116" s="138" t="s">
        <v>535</v>
      </c>
      <c r="B116" s="138">
        <v>31</v>
      </c>
      <c r="C116" s="138">
        <v>3.7</v>
      </c>
      <c r="D116" s="138">
        <v>107.3</v>
      </c>
      <c r="E116" s="138">
        <v>107.3</v>
      </c>
      <c r="F116" s="138">
        <v>232.9</v>
      </c>
      <c r="G116" s="138">
        <v>232.9</v>
      </c>
      <c r="H116" s="138"/>
    </row>
    <row r="117" spans="1:8" ht="15">
      <c r="A117" s="138" t="s">
        <v>536</v>
      </c>
      <c r="B117" s="138">
        <v>30</v>
      </c>
      <c r="C117" s="138">
        <v>8.1</v>
      </c>
      <c r="D117" s="138">
        <v>181.4</v>
      </c>
      <c r="E117" s="138">
        <v>181.4</v>
      </c>
      <c r="F117" s="138">
        <v>311</v>
      </c>
      <c r="G117" s="138">
        <v>311</v>
      </c>
      <c r="H117" s="138"/>
    </row>
    <row r="118" spans="1:8" ht="15">
      <c r="A118" s="138" t="s">
        <v>537</v>
      </c>
      <c r="B118" s="138">
        <v>31</v>
      </c>
      <c r="C118" s="138">
        <v>13.3</v>
      </c>
      <c r="D118" s="138">
        <v>235.8</v>
      </c>
      <c r="E118" s="138">
        <v>235.8</v>
      </c>
      <c r="F118" s="138">
        <v>332.3</v>
      </c>
      <c r="G118" s="138">
        <v>332.3</v>
      </c>
      <c r="H118" s="138"/>
    </row>
    <row r="119" spans="1:8" ht="15">
      <c r="A119" s="138" t="s">
        <v>538</v>
      </c>
      <c r="B119" s="138">
        <v>30</v>
      </c>
      <c r="C119" s="138">
        <v>16.100000000000001</v>
      </c>
      <c r="D119" s="138">
        <v>254.2</v>
      </c>
      <c r="E119" s="138">
        <v>254.2</v>
      </c>
      <c r="F119" s="138">
        <v>316.10000000000002</v>
      </c>
      <c r="G119" s="138">
        <v>316.10000000000002</v>
      </c>
    </row>
    <row r="120" spans="1:8" ht="15">
      <c r="A120" s="138" t="s">
        <v>539</v>
      </c>
      <c r="B120" s="138">
        <v>31</v>
      </c>
      <c r="C120" s="138">
        <v>18</v>
      </c>
      <c r="D120" s="138">
        <v>238.3</v>
      </c>
      <c r="E120" s="138">
        <v>238.3</v>
      </c>
      <c r="F120" s="138">
        <v>308.2</v>
      </c>
      <c r="G120" s="138">
        <v>308.2</v>
      </c>
    </row>
    <row r="121" spans="1:8" ht="15">
      <c r="A121" s="138" t="s">
        <v>540</v>
      </c>
      <c r="B121" s="138">
        <v>31</v>
      </c>
      <c r="C121" s="138">
        <v>17.899999999999999</v>
      </c>
      <c r="D121" s="138">
        <v>203.4</v>
      </c>
      <c r="E121" s="138">
        <v>203.4</v>
      </c>
      <c r="F121" s="138">
        <v>340.2</v>
      </c>
      <c r="G121" s="138">
        <v>340.2</v>
      </c>
    </row>
    <row r="122" spans="1:8" ht="15">
      <c r="A122" s="138" t="s">
        <v>541</v>
      </c>
      <c r="B122" s="138">
        <v>30</v>
      </c>
      <c r="C122" s="138">
        <v>13.5</v>
      </c>
      <c r="D122" s="138">
        <v>127.1</v>
      </c>
      <c r="E122" s="138">
        <v>127.1</v>
      </c>
      <c r="F122" s="138">
        <v>248.8</v>
      </c>
      <c r="G122" s="138">
        <v>248.8</v>
      </c>
    </row>
    <row r="123" spans="1:8" ht="15">
      <c r="A123" s="138" t="s">
        <v>542</v>
      </c>
      <c r="B123" s="138">
        <v>31</v>
      </c>
      <c r="C123" s="138">
        <v>8.3000000000000007</v>
      </c>
      <c r="D123" s="138">
        <v>77.8</v>
      </c>
      <c r="E123" s="138">
        <v>77.8</v>
      </c>
      <c r="F123" s="138">
        <v>217.1</v>
      </c>
      <c r="G123" s="138">
        <v>217.1</v>
      </c>
    </row>
    <row r="124" spans="1:8" ht="15">
      <c r="A124" s="138" t="s">
        <v>543</v>
      </c>
      <c r="B124" s="138">
        <v>30</v>
      </c>
      <c r="C124" s="138">
        <v>3.2</v>
      </c>
      <c r="D124" s="138">
        <v>33.799999999999997</v>
      </c>
      <c r="E124" s="138">
        <v>33.799999999999997</v>
      </c>
      <c r="F124" s="138">
        <v>121.7</v>
      </c>
      <c r="G124" s="138">
        <v>121.7</v>
      </c>
    </row>
    <row r="125" spans="1:8" ht="15">
      <c r="A125" s="138" t="s">
        <v>544</v>
      </c>
      <c r="B125" s="138">
        <v>31</v>
      </c>
      <c r="C125" s="138">
        <v>0.5</v>
      </c>
      <c r="D125" s="138">
        <v>21.6</v>
      </c>
      <c r="E125" s="138">
        <v>21.6</v>
      </c>
      <c r="F125" s="138">
        <v>83.2</v>
      </c>
      <c r="G125" s="138">
        <v>83.2</v>
      </c>
    </row>
    <row r="126" spans="1:8" ht="15">
      <c r="A126" s="138" t="s">
        <v>550</v>
      </c>
      <c r="B126" s="138"/>
      <c r="C126" s="138"/>
      <c r="D126" s="138"/>
      <c r="E126" s="138"/>
      <c r="F126" s="138"/>
      <c r="G126" s="138"/>
    </row>
    <row r="127" spans="1:8" ht="15">
      <c r="A127" s="138" t="s">
        <v>551</v>
      </c>
      <c r="B127" s="138"/>
      <c r="C127" s="138"/>
      <c r="D127" s="138"/>
      <c r="E127" s="138"/>
      <c r="F127" s="138"/>
      <c r="G127" s="138"/>
    </row>
    <row r="128" spans="1:8" ht="15">
      <c r="A128" s="138" t="s">
        <v>552</v>
      </c>
      <c r="B128" s="138"/>
      <c r="C128" s="138"/>
      <c r="D128" s="138"/>
      <c r="E128" s="138"/>
      <c r="F128" s="138"/>
      <c r="G128" s="138"/>
    </row>
    <row r="129" spans="1:7" ht="15">
      <c r="A129" s="138" t="s">
        <v>553</v>
      </c>
      <c r="B129" s="138"/>
      <c r="C129" s="138"/>
      <c r="D129" s="138"/>
      <c r="E129" s="138"/>
      <c r="F129" s="138"/>
      <c r="G129" s="138"/>
    </row>
    <row r="130" spans="1:7" ht="15">
      <c r="A130" s="138" t="s">
        <v>554</v>
      </c>
      <c r="B130" s="138"/>
      <c r="C130" s="138"/>
      <c r="D130" s="138"/>
      <c r="E130" s="138"/>
      <c r="F130" s="138"/>
      <c r="G130" s="138"/>
    </row>
    <row r="131" spans="1:7" ht="15">
      <c r="A131" s="138" t="s">
        <v>555</v>
      </c>
      <c r="B131" s="138"/>
      <c r="C131" s="138"/>
      <c r="D131" s="138"/>
      <c r="E131" s="138"/>
      <c r="F131" s="138"/>
      <c r="G131" s="138"/>
    </row>
    <row r="132" spans="1:7" ht="15">
      <c r="A132" s="138" t="s">
        <v>556</v>
      </c>
      <c r="B132" s="138"/>
      <c r="C132" s="138"/>
      <c r="D132" s="138"/>
      <c r="E132" s="138"/>
      <c r="F132" s="138"/>
      <c r="G132" s="138"/>
    </row>
    <row r="133" spans="1:7" ht="15">
      <c r="A133" s="138" t="s">
        <v>557</v>
      </c>
      <c r="B133" s="138"/>
      <c r="C133" s="138"/>
      <c r="D133" s="138"/>
      <c r="E133" s="138"/>
      <c r="F133" s="138"/>
      <c r="G133" s="138"/>
    </row>
    <row r="134" spans="1:7" ht="15">
      <c r="A134" s="138" t="s">
        <v>558</v>
      </c>
      <c r="B134" s="138"/>
      <c r="C134" s="138"/>
      <c r="D134" s="138"/>
      <c r="E134" s="138"/>
      <c r="F134" s="138"/>
      <c r="G134" s="138"/>
    </row>
    <row r="135" spans="1:7" ht="15">
      <c r="A135" s="138" t="s">
        <v>559</v>
      </c>
    </row>
    <row r="136" spans="1:7" ht="15">
      <c r="A136" s="138" t="s">
        <v>560</v>
      </c>
    </row>
    <row r="137" spans="1:7" ht="15">
      <c r="A137" s="138" t="s">
        <v>561</v>
      </c>
    </row>
    <row r="138" spans="1:7" ht="15">
      <c r="A138" s="138" t="s">
        <v>562</v>
      </c>
    </row>
    <row r="139" spans="1:7" ht="15">
      <c r="A139" s="138" t="s">
        <v>563</v>
      </c>
    </row>
    <row r="140" spans="1:7" ht="15">
      <c r="A140" s="138" t="s">
        <v>564</v>
      </c>
    </row>
    <row r="141" spans="1:7" ht="15">
      <c r="A141" s="138" t="s">
        <v>565</v>
      </c>
    </row>
    <row r="142" spans="1:7" ht="15">
      <c r="A142" s="138" t="s">
        <v>566</v>
      </c>
    </row>
    <row r="143" spans="1:7" ht="15">
      <c r="A143" s="138" t="s">
        <v>567</v>
      </c>
    </row>
    <row r="144" spans="1:7" ht="15">
      <c r="A144" s="138" t="s">
        <v>568</v>
      </c>
    </row>
    <row r="145" spans="1:6" ht="15">
      <c r="A145" s="138" t="s">
        <v>569</v>
      </c>
    </row>
    <row r="146" spans="1:6" ht="15">
      <c r="A146" s="138" t="s">
        <v>570</v>
      </c>
    </row>
    <row r="147" spans="1:6" ht="15">
      <c r="A147" s="138" t="s">
        <v>571</v>
      </c>
    </row>
    <row r="148" spans="1:6" ht="15">
      <c r="A148" s="138" t="s">
        <v>572</v>
      </c>
    </row>
    <row r="149" spans="1:6" ht="15">
      <c r="A149" s="138" t="s">
        <v>573</v>
      </c>
    </row>
    <row r="150" spans="1:6" ht="15">
      <c r="A150" s="138" t="s">
        <v>574</v>
      </c>
    </row>
    <row r="151" spans="1:6" ht="15">
      <c r="A151" s="138" t="s">
        <v>575</v>
      </c>
      <c r="B151" s="138"/>
      <c r="C151" s="138"/>
      <c r="D151" s="138"/>
      <c r="E151" s="138"/>
      <c r="F151" s="138"/>
    </row>
    <row r="152" spans="1:6" ht="15">
      <c r="A152" s="138" t="s">
        <v>576</v>
      </c>
      <c r="B152" s="138"/>
      <c r="C152" s="138"/>
      <c r="D152" s="138"/>
      <c r="E152" s="138"/>
      <c r="F152" s="138"/>
    </row>
    <row r="153" spans="1:6" ht="15">
      <c r="A153" s="138" t="s">
        <v>577</v>
      </c>
      <c r="B153" s="138"/>
      <c r="C153" s="138"/>
      <c r="D153" s="138"/>
      <c r="E153" s="138"/>
      <c r="F153" s="138"/>
    </row>
    <row r="154" spans="1:6" ht="15">
      <c r="A154" s="138" t="s">
        <v>578</v>
      </c>
      <c r="B154" s="138"/>
      <c r="C154" s="138"/>
      <c r="D154" s="138"/>
      <c r="E154" s="138"/>
      <c r="F154" s="138"/>
    </row>
    <row r="155" spans="1:6" ht="15">
      <c r="A155" s="138" t="s">
        <v>579</v>
      </c>
      <c r="B155" s="138"/>
      <c r="C155" s="138"/>
      <c r="D155" s="138"/>
      <c r="E155" s="138"/>
      <c r="F155" s="138"/>
    </row>
    <row r="156" spans="1:6" ht="15">
      <c r="A156" s="138" t="s">
        <v>580</v>
      </c>
      <c r="B156" s="138"/>
      <c r="C156" s="138"/>
      <c r="D156" s="138"/>
      <c r="E156" s="138"/>
      <c r="F156" s="138"/>
    </row>
    <row r="157" spans="1:6" ht="15">
      <c r="A157" s="138" t="s">
        <v>464</v>
      </c>
      <c r="B157" s="138"/>
      <c r="C157" s="138"/>
      <c r="D157" s="138"/>
      <c r="E157" s="138"/>
      <c r="F157" s="138"/>
    </row>
    <row r="158" spans="1:6" ht="15">
      <c r="A158" s="138" t="s">
        <v>456</v>
      </c>
      <c r="B158" s="138"/>
      <c r="C158" s="138"/>
      <c r="D158" s="138"/>
      <c r="E158" s="138"/>
      <c r="F158" s="138"/>
    </row>
    <row r="159" spans="1:6" ht="15">
      <c r="A159" s="138" t="s">
        <v>454</v>
      </c>
      <c r="B159" s="138"/>
      <c r="C159" s="138"/>
      <c r="D159" s="138"/>
      <c r="E159" s="138"/>
      <c r="F159" s="138"/>
    </row>
    <row r="160" spans="1:6" ht="15">
      <c r="A160" s="138" t="s">
        <v>581</v>
      </c>
      <c r="B160" s="138"/>
      <c r="C160" s="138"/>
      <c r="D160" s="138"/>
      <c r="E160" s="138"/>
      <c r="F160" s="138"/>
    </row>
    <row r="161" spans="1:10" ht="15">
      <c r="A161" s="138" t="s">
        <v>582</v>
      </c>
      <c r="B161" s="138" t="s">
        <v>583</v>
      </c>
      <c r="C161" s="138" t="s">
        <v>584</v>
      </c>
      <c r="D161" s="138" t="s">
        <v>585</v>
      </c>
      <c r="E161" s="138" t="s">
        <v>586</v>
      </c>
      <c r="F161" s="138" t="s">
        <v>587</v>
      </c>
    </row>
    <row r="162" spans="1:10" ht="15">
      <c r="A162" s="138" t="s">
        <v>588</v>
      </c>
      <c r="B162" s="138">
        <v>31.18</v>
      </c>
      <c r="C162" s="138">
        <v>0.22</v>
      </c>
      <c r="D162" s="138">
        <v>1</v>
      </c>
      <c r="E162" s="138">
        <v>6.86</v>
      </c>
      <c r="F162" s="138">
        <v>0.3</v>
      </c>
    </row>
    <row r="163" spans="1:10" ht="15">
      <c r="A163" s="138" t="s">
        <v>589</v>
      </c>
      <c r="B163" s="138">
        <v>37.17</v>
      </c>
      <c r="C163" s="138">
        <v>0.22</v>
      </c>
      <c r="D163" s="138">
        <v>1</v>
      </c>
      <c r="E163" s="138">
        <v>8.1769999999999996</v>
      </c>
      <c r="F163" s="138">
        <v>0.3</v>
      </c>
    </row>
    <row r="164" spans="1:10" ht="15">
      <c r="A164" s="138" t="s">
        <v>590</v>
      </c>
      <c r="B164" s="138">
        <v>21.86</v>
      </c>
      <c r="C164" s="138">
        <v>0.22</v>
      </c>
      <c r="D164" s="138">
        <v>1</v>
      </c>
      <c r="E164" s="138">
        <v>4.8090000000000002</v>
      </c>
      <c r="F164" s="138">
        <v>0.3</v>
      </c>
    </row>
    <row r="165" spans="1:10" ht="15">
      <c r="A165" s="138" t="s">
        <v>591</v>
      </c>
      <c r="B165" s="138">
        <v>3.15</v>
      </c>
      <c r="C165" s="138">
        <v>0.22</v>
      </c>
      <c r="D165" s="138">
        <v>1</v>
      </c>
      <c r="E165" s="138">
        <v>0.69299999999999995</v>
      </c>
      <c r="F165" s="138">
        <v>0.3</v>
      </c>
    </row>
    <row r="166" spans="1:10" ht="15">
      <c r="A166" s="138" t="s">
        <v>592</v>
      </c>
      <c r="B166" s="138">
        <v>223.19</v>
      </c>
      <c r="C166" s="138">
        <v>0.22</v>
      </c>
      <c r="D166" s="138">
        <v>1</v>
      </c>
      <c r="E166" s="138">
        <v>49.101999999999997</v>
      </c>
      <c r="F166" s="138">
        <v>0.3</v>
      </c>
    </row>
    <row r="167" spans="1:10" ht="15">
      <c r="A167" s="138" t="s">
        <v>593</v>
      </c>
      <c r="B167" s="138">
        <v>232.1</v>
      </c>
      <c r="C167" s="138">
        <v>0.22</v>
      </c>
      <c r="D167" s="138">
        <v>1</v>
      </c>
      <c r="E167" s="138">
        <v>51.061999999999998</v>
      </c>
      <c r="F167" s="138">
        <v>0.3</v>
      </c>
    </row>
    <row r="168" spans="1:10" ht="15">
      <c r="A168" s="138" t="s">
        <v>594</v>
      </c>
      <c r="B168" s="138">
        <v>268.45999999999998</v>
      </c>
      <c r="C168" s="138">
        <v>0.22</v>
      </c>
      <c r="D168" s="138">
        <v>1</v>
      </c>
      <c r="E168" s="138">
        <v>59.061</v>
      </c>
      <c r="F168" s="138">
        <v>0.3</v>
      </c>
    </row>
    <row r="169" spans="1:10" ht="15">
      <c r="A169" s="138" t="s">
        <v>595</v>
      </c>
      <c r="B169" s="138">
        <v>22.73</v>
      </c>
      <c r="C169" s="138">
        <v>0.22</v>
      </c>
      <c r="D169" s="138">
        <v>1</v>
      </c>
      <c r="E169" s="138">
        <v>5.0010000000000003</v>
      </c>
      <c r="F169" s="138">
        <v>0.3</v>
      </c>
      <c r="I169" s="130">
        <f>SUM(I171:I187)</f>
        <v>328.80000000000007</v>
      </c>
      <c r="J169" s="137" t="s">
        <v>994</v>
      </c>
    </row>
    <row r="170" spans="1:10" ht="15">
      <c r="A170" s="138" t="s">
        <v>596</v>
      </c>
      <c r="B170" s="138">
        <v>217.74</v>
      </c>
      <c r="C170" s="138">
        <v>0.15</v>
      </c>
      <c r="D170" s="138">
        <v>1</v>
      </c>
      <c r="E170" s="138">
        <v>32.661000000000001</v>
      </c>
      <c r="F170" s="138">
        <v>0.24</v>
      </c>
    </row>
    <row r="171" spans="1:10" ht="15">
      <c r="A171" s="138" t="s">
        <v>597</v>
      </c>
      <c r="B171" s="138" t="s">
        <v>598</v>
      </c>
      <c r="C171" s="138">
        <v>1.3</v>
      </c>
      <c r="D171" s="138">
        <v>1</v>
      </c>
      <c r="E171" s="138">
        <v>4.3680000000000003</v>
      </c>
      <c r="F171" s="138">
        <v>1.5</v>
      </c>
      <c r="I171" s="130">
        <v>3.36</v>
      </c>
      <c r="J171" s="130" t="s">
        <v>979</v>
      </c>
    </row>
    <row r="172" spans="1:10" ht="15">
      <c r="A172" s="138" t="s">
        <v>599</v>
      </c>
      <c r="B172" s="138" t="s">
        <v>600</v>
      </c>
      <c r="C172" s="138">
        <v>1.3</v>
      </c>
      <c r="D172" s="138">
        <v>1</v>
      </c>
      <c r="E172" s="138">
        <v>12.48</v>
      </c>
      <c r="F172" s="138">
        <v>1.5</v>
      </c>
      <c r="I172" s="130">
        <v>9.6</v>
      </c>
      <c r="J172" s="130" t="s">
        <v>980</v>
      </c>
    </row>
    <row r="173" spans="1:10" ht="15">
      <c r="A173" s="138" t="s">
        <v>601</v>
      </c>
      <c r="B173" s="138" t="s">
        <v>602</v>
      </c>
      <c r="C173" s="138">
        <v>1.3</v>
      </c>
      <c r="D173" s="138">
        <v>1</v>
      </c>
      <c r="E173" s="138">
        <v>3.7440000000000002</v>
      </c>
      <c r="F173" s="138">
        <v>1.5</v>
      </c>
      <c r="I173" s="130">
        <v>2.88</v>
      </c>
      <c r="J173" s="130" t="s">
        <v>981</v>
      </c>
    </row>
    <row r="174" spans="1:10" ht="15">
      <c r="A174" s="138" t="s">
        <v>603</v>
      </c>
      <c r="B174" s="138" t="s">
        <v>604</v>
      </c>
      <c r="C174" s="138">
        <v>1.3</v>
      </c>
      <c r="D174" s="138">
        <v>1</v>
      </c>
      <c r="E174" s="138">
        <v>3.12</v>
      </c>
      <c r="F174" s="138">
        <v>1.5</v>
      </c>
      <c r="I174" s="130">
        <v>2.4</v>
      </c>
      <c r="J174" s="130" t="s">
        <v>982</v>
      </c>
    </row>
    <row r="175" spans="1:10" ht="15">
      <c r="A175" s="138" t="s">
        <v>605</v>
      </c>
      <c r="B175" s="138" t="s">
        <v>606</v>
      </c>
      <c r="C175" s="138">
        <v>1.3</v>
      </c>
      <c r="D175" s="138">
        <v>1</v>
      </c>
      <c r="E175" s="138">
        <v>4.9139999999999997</v>
      </c>
      <c r="F175" s="138">
        <v>1.5</v>
      </c>
      <c r="I175" s="130">
        <v>3.78</v>
      </c>
      <c r="J175" s="130" t="s">
        <v>983</v>
      </c>
    </row>
    <row r="176" spans="1:10" ht="15">
      <c r="A176" s="138" t="s">
        <v>607</v>
      </c>
      <c r="B176" s="138" t="s">
        <v>608</v>
      </c>
      <c r="C176" s="138">
        <v>1.3</v>
      </c>
      <c r="D176" s="138">
        <v>1</v>
      </c>
      <c r="E176" s="138">
        <v>7.4880000000000004</v>
      </c>
      <c r="F176" s="138">
        <v>1.5</v>
      </c>
      <c r="I176" s="130">
        <v>5.76</v>
      </c>
      <c r="J176" s="130" t="s">
        <v>984</v>
      </c>
    </row>
    <row r="177" spans="1:10" ht="15">
      <c r="A177" s="138" t="s">
        <v>603</v>
      </c>
      <c r="B177" s="138" t="s">
        <v>604</v>
      </c>
      <c r="C177" s="138">
        <v>1.3</v>
      </c>
      <c r="D177" s="138">
        <v>1</v>
      </c>
      <c r="E177" s="138">
        <v>3.12</v>
      </c>
      <c r="F177" s="138">
        <v>1.5</v>
      </c>
      <c r="I177" s="130">
        <v>2.4</v>
      </c>
      <c r="J177" s="130" t="s">
        <v>982</v>
      </c>
    </row>
    <row r="178" spans="1:10" ht="15">
      <c r="A178" s="138" t="s">
        <v>609</v>
      </c>
      <c r="B178" s="138" t="s">
        <v>610</v>
      </c>
      <c r="C178" s="138">
        <v>1.3</v>
      </c>
      <c r="D178" s="138">
        <v>1</v>
      </c>
      <c r="E178" s="138">
        <v>8.7360000000000007</v>
      </c>
      <c r="F178" s="138">
        <v>1.5</v>
      </c>
      <c r="I178" s="130">
        <v>6.72</v>
      </c>
      <c r="J178" s="130" t="s">
        <v>985</v>
      </c>
    </row>
    <row r="179" spans="1:10" ht="15">
      <c r="A179" s="138" t="s">
        <v>611</v>
      </c>
      <c r="B179" s="138" t="s">
        <v>612</v>
      </c>
      <c r="C179" s="138">
        <v>1.3</v>
      </c>
      <c r="D179" s="138">
        <v>1</v>
      </c>
      <c r="E179" s="138">
        <v>30.576000000000001</v>
      </c>
      <c r="F179" s="138">
        <v>1.5</v>
      </c>
      <c r="I179" s="130">
        <v>23.52</v>
      </c>
      <c r="J179" s="130" t="s">
        <v>986</v>
      </c>
    </row>
    <row r="180" spans="1:10" ht="15">
      <c r="A180" s="138" t="s">
        <v>613</v>
      </c>
      <c r="B180" s="138" t="s">
        <v>614</v>
      </c>
      <c r="C180" s="138">
        <v>1.3</v>
      </c>
      <c r="D180" s="138">
        <v>1</v>
      </c>
      <c r="E180" s="138">
        <v>87.36</v>
      </c>
      <c r="F180" s="138">
        <v>1.5</v>
      </c>
      <c r="I180" s="130">
        <v>67.2</v>
      </c>
      <c r="J180" s="130" t="s">
        <v>987</v>
      </c>
    </row>
    <row r="181" spans="1:10" ht="15">
      <c r="A181" s="138" t="s">
        <v>615</v>
      </c>
      <c r="B181" s="138" t="s">
        <v>616</v>
      </c>
      <c r="C181" s="138">
        <v>1.3</v>
      </c>
      <c r="D181" s="138">
        <v>1</v>
      </c>
      <c r="E181" s="138">
        <v>26.207999999999998</v>
      </c>
      <c r="F181" s="138">
        <v>1.5</v>
      </c>
      <c r="I181" s="130">
        <v>20.16</v>
      </c>
      <c r="J181" s="130" t="s">
        <v>988</v>
      </c>
    </row>
    <row r="182" spans="1:10" ht="15">
      <c r="A182" s="138" t="s">
        <v>617</v>
      </c>
      <c r="B182" s="138" t="s">
        <v>618</v>
      </c>
      <c r="C182" s="138">
        <v>1.3</v>
      </c>
      <c r="D182" s="138">
        <v>1</v>
      </c>
      <c r="E182" s="138">
        <v>21.84</v>
      </c>
      <c r="F182" s="138">
        <v>1.5</v>
      </c>
      <c r="I182" s="130">
        <v>16.8</v>
      </c>
      <c r="J182" s="130" t="s">
        <v>989</v>
      </c>
    </row>
    <row r="183" spans="1:10" ht="15">
      <c r="A183" s="138" t="s">
        <v>619</v>
      </c>
      <c r="B183" s="138" t="s">
        <v>620</v>
      </c>
      <c r="C183" s="138">
        <v>1.3</v>
      </c>
      <c r="D183" s="138">
        <v>1</v>
      </c>
      <c r="E183" s="138">
        <v>34.398000000000003</v>
      </c>
      <c r="F183" s="138">
        <v>1.5</v>
      </c>
      <c r="I183" s="130">
        <v>26.46</v>
      </c>
      <c r="J183" s="130" t="s">
        <v>990</v>
      </c>
    </row>
    <row r="184" spans="1:10" ht="15">
      <c r="A184" s="138" t="s">
        <v>621</v>
      </c>
      <c r="B184" s="138" t="s">
        <v>622</v>
      </c>
      <c r="C184" s="138">
        <v>1.3</v>
      </c>
      <c r="D184" s="138">
        <v>1</v>
      </c>
      <c r="E184" s="138">
        <v>52.415999999999997</v>
      </c>
      <c r="F184" s="138">
        <v>1.5</v>
      </c>
      <c r="I184" s="130">
        <v>40.32</v>
      </c>
      <c r="J184" s="130" t="s">
        <v>991</v>
      </c>
    </row>
    <row r="185" spans="1:10" ht="15">
      <c r="A185" s="138" t="s">
        <v>613</v>
      </c>
      <c r="B185" s="138" t="s">
        <v>623</v>
      </c>
      <c r="C185" s="138">
        <v>1.3</v>
      </c>
      <c r="D185" s="138">
        <v>1</v>
      </c>
      <c r="E185" s="138">
        <v>43.68</v>
      </c>
      <c r="F185" s="138">
        <v>1.5</v>
      </c>
      <c r="I185" s="130">
        <v>33.6</v>
      </c>
      <c r="J185" s="130" t="s">
        <v>992</v>
      </c>
    </row>
    <row r="186" spans="1:10" ht="15">
      <c r="A186" s="138" t="s">
        <v>611</v>
      </c>
      <c r="B186" s="138" t="s">
        <v>624</v>
      </c>
      <c r="C186" s="138">
        <v>1.3</v>
      </c>
      <c r="D186" s="138">
        <v>1</v>
      </c>
      <c r="E186" s="138">
        <v>61.152000000000001</v>
      </c>
      <c r="F186" s="138">
        <v>1.5</v>
      </c>
      <c r="I186" s="130">
        <v>47.04</v>
      </c>
      <c r="J186" s="130" t="s">
        <v>993</v>
      </c>
    </row>
    <row r="187" spans="1:10" ht="15">
      <c r="A187" s="138" t="s">
        <v>617</v>
      </c>
      <c r="B187" s="138" t="s">
        <v>618</v>
      </c>
      <c r="C187" s="138">
        <v>1.3</v>
      </c>
      <c r="D187" s="138">
        <v>1</v>
      </c>
      <c r="E187" s="138">
        <v>21.84</v>
      </c>
      <c r="F187" s="138">
        <v>1.5</v>
      </c>
      <c r="I187" s="130">
        <v>16.8</v>
      </c>
      <c r="J187" s="130" t="s">
        <v>989</v>
      </c>
    </row>
    <row r="188" spans="1:10" ht="15">
      <c r="A188" s="138" t="s">
        <v>625</v>
      </c>
      <c r="B188" s="138"/>
      <c r="C188" s="138"/>
      <c r="D188" s="138"/>
      <c r="E188" s="138"/>
      <c r="F188" s="138"/>
    </row>
    <row r="189" spans="1:10" ht="15">
      <c r="A189" s="138" t="s">
        <v>626</v>
      </c>
      <c r="B189" s="138"/>
      <c r="C189" s="138"/>
      <c r="D189" s="138"/>
      <c r="E189" s="138"/>
      <c r="F189" s="138"/>
    </row>
    <row r="190" spans="1:10" ht="15">
      <c r="A190" s="138" t="s">
        <v>627</v>
      </c>
      <c r="B190" s="138"/>
      <c r="C190" s="138"/>
      <c r="D190" s="138"/>
      <c r="E190" s="138"/>
      <c r="F190" s="138"/>
    </row>
    <row r="191" spans="1:10" ht="15">
      <c r="A191" s="138" t="s">
        <v>628</v>
      </c>
      <c r="B191" s="138"/>
      <c r="C191" s="138"/>
      <c r="D191" s="138"/>
      <c r="E191" s="138"/>
      <c r="F191" s="138"/>
    </row>
    <row r="192" spans="1:10" ht="15">
      <c r="A192" s="138" t="s">
        <v>629</v>
      </c>
      <c r="B192" s="138"/>
      <c r="C192" s="138"/>
      <c r="D192" s="138"/>
      <c r="E192" s="138"/>
      <c r="F192" s="138"/>
    </row>
    <row r="193" spans="1:6" ht="15">
      <c r="A193" s="138" t="s">
        <v>630</v>
      </c>
      <c r="B193" s="138"/>
      <c r="C193" s="138"/>
      <c r="D193" s="138"/>
      <c r="E193" s="138"/>
      <c r="F193" s="138"/>
    </row>
    <row r="194" spans="1:6" ht="15">
      <c r="A194" s="138" t="s">
        <v>631</v>
      </c>
      <c r="B194" s="138"/>
      <c r="C194" s="138"/>
      <c r="D194" s="138"/>
      <c r="E194" s="138"/>
      <c r="F194" s="138"/>
    </row>
    <row r="195" spans="1:6" ht="15">
      <c r="A195" s="138" t="s">
        <v>632</v>
      </c>
      <c r="B195" s="138"/>
      <c r="C195" s="138"/>
      <c r="D195" s="138"/>
      <c r="E195" s="138"/>
      <c r="F195" s="138"/>
    </row>
    <row r="196" spans="1:6" ht="15">
      <c r="A196" s="138" t="s">
        <v>633</v>
      </c>
      <c r="B196" s="138"/>
      <c r="C196" s="138"/>
      <c r="D196" s="138"/>
      <c r="E196" s="138"/>
      <c r="F196" s="138"/>
    </row>
    <row r="197" spans="1:6" ht="15">
      <c r="A197" s="138" t="s">
        <v>634</v>
      </c>
      <c r="B197" s="138"/>
      <c r="C197" s="138"/>
      <c r="D197" s="138"/>
      <c r="E197" s="138"/>
      <c r="F197" s="138"/>
    </row>
    <row r="198" spans="1:6" ht="15">
      <c r="A198" s="138" t="s">
        <v>635</v>
      </c>
      <c r="B198" s="138" t="s">
        <v>636</v>
      </c>
      <c r="C198" s="138"/>
      <c r="D198" s="138"/>
      <c r="E198" s="138"/>
      <c r="F198" s="138"/>
    </row>
    <row r="199" spans="1:6" ht="15">
      <c r="A199" s="138" t="s">
        <v>637</v>
      </c>
      <c r="B199" s="138"/>
    </row>
    <row r="200" spans="1:6" ht="15">
      <c r="A200" s="138" t="s">
        <v>638</v>
      </c>
      <c r="B200" s="138"/>
    </row>
    <row r="201" spans="1:6" ht="15">
      <c r="A201" s="138" t="s">
        <v>639</v>
      </c>
      <c r="B201" s="138"/>
    </row>
    <row r="202" spans="1:6" ht="15">
      <c r="A202" s="138" t="s">
        <v>640</v>
      </c>
      <c r="B202" s="138"/>
    </row>
    <row r="203" spans="1:6" ht="15">
      <c r="A203" s="138" t="s">
        <v>641</v>
      </c>
      <c r="B203" s="138" t="s">
        <v>642</v>
      </c>
    </row>
    <row r="204" spans="1:6" ht="15">
      <c r="A204" s="138" t="s">
        <v>643</v>
      </c>
      <c r="B204" s="138"/>
    </row>
    <row r="205" spans="1:6" ht="15">
      <c r="A205" s="138" t="s">
        <v>644</v>
      </c>
      <c r="B205" s="138"/>
    </row>
    <row r="206" spans="1:6" ht="15">
      <c r="A206" s="138" t="s">
        <v>645</v>
      </c>
      <c r="B206" s="138"/>
    </row>
    <row r="207" spans="1:6" ht="15">
      <c r="A207" s="138" t="s">
        <v>646</v>
      </c>
      <c r="B207" s="138"/>
    </row>
    <row r="208" spans="1:6" ht="15">
      <c r="A208" s="138" t="s">
        <v>647</v>
      </c>
      <c r="B208" s="138"/>
    </row>
    <row r="209" spans="1:7" ht="15">
      <c r="A209" s="138" t="s">
        <v>648</v>
      </c>
      <c r="B209" s="138"/>
    </row>
    <row r="210" spans="1:7" ht="15">
      <c r="A210" s="138" t="s">
        <v>649</v>
      </c>
      <c r="B210" s="138"/>
    </row>
    <row r="211" spans="1:7" ht="15">
      <c r="A211" s="138" t="s">
        <v>650</v>
      </c>
      <c r="B211" s="138"/>
    </row>
    <row r="212" spans="1:7" ht="15">
      <c r="A212" s="138" t="s">
        <v>651</v>
      </c>
      <c r="B212" s="138"/>
    </row>
    <row r="213" spans="1:7" ht="15">
      <c r="A213" s="138" t="s">
        <v>652</v>
      </c>
      <c r="B213" s="138"/>
    </row>
    <row r="214" spans="1:7" ht="15">
      <c r="A214" s="138" t="s">
        <v>653</v>
      </c>
      <c r="B214" s="138"/>
    </row>
    <row r="215" spans="1:7" ht="15">
      <c r="A215" s="138" t="s">
        <v>654</v>
      </c>
      <c r="B215" s="138"/>
      <c r="C215" s="138"/>
      <c r="D215" s="138"/>
      <c r="E215" s="138"/>
      <c r="F215" s="138"/>
      <c r="G215" s="138"/>
    </row>
    <row r="216" spans="1:7" ht="15">
      <c r="A216" s="138" t="s">
        <v>655</v>
      </c>
      <c r="B216" s="138"/>
      <c r="C216" s="138"/>
      <c r="D216" s="138"/>
      <c r="E216" s="138"/>
      <c r="F216" s="138"/>
      <c r="G216" s="138"/>
    </row>
    <row r="217" spans="1:7" ht="15">
      <c r="A217" s="138" t="s">
        <v>656</v>
      </c>
      <c r="B217" s="138"/>
      <c r="C217" s="138"/>
      <c r="D217" s="138"/>
      <c r="E217" s="138"/>
      <c r="F217" s="138"/>
      <c r="G217" s="138"/>
    </row>
    <row r="218" spans="1:7" ht="15">
      <c r="A218" s="138" t="s">
        <v>657</v>
      </c>
      <c r="B218" s="138"/>
      <c r="C218" s="138"/>
      <c r="D218" s="138"/>
      <c r="E218" s="138"/>
      <c r="F218" s="138"/>
      <c r="G218" s="138"/>
    </row>
    <row r="219" spans="1:7" ht="15">
      <c r="A219" s="138" t="s">
        <v>658</v>
      </c>
      <c r="B219" s="138"/>
      <c r="C219" s="138"/>
      <c r="D219" s="138"/>
      <c r="E219" s="138"/>
      <c r="F219" s="138"/>
      <c r="G219" s="138"/>
    </row>
    <row r="220" spans="1:7" ht="15">
      <c r="A220" s="138" t="s">
        <v>582</v>
      </c>
      <c r="B220" s="138"/>
      <c r="C220" s="138"/>
      <c r="D220" s="138"/>
      <c r="E220" s="138"/>
      <c r="F220" s="138"/>
      <c r="G220" s="138"/>
    </row>
    <row r="221" spans="1:7" ht="15">
      <c r="A221" s="138" t="s">
        <v>659</v>
      </c>
      <c r="B221" s="138" t="s">
        <v>583</v>
      </c>
      <c r="C221" s="138"/>
      <c r="D221" s="138"/>
      <c r="E221" s="138"/>
      <c r="F221" s="138"/>
      <c r="G221" s="138"/>
    </row>
    <row r="222" spans="1:7" ht="15">
      <c r="A222" s="138" t="s">
        <v>660</v>
      </c>
      <c r="B222" s="138" t="s">
        <v>661</v>
      </c>
      <c r="C222" s="138"/>
      <c r="D222" s="138"/>
      <c r="E222" s="138"/>
      <c r="F222" s="138"/>
      <c r="G222" s="138"/>
    </row>
    <row r="223" spans="1:7" ht="15">
      <c r="A223" s="138" t="s">
        <v>662</v>
      </c>
      <c r="B223" s="138" t="s">
        <v>663</v>
      </c>
      <c r="C223" s="138"/>
      <c r="D223" s="138"/>
      <c r="E223" s="138"/>
      <c r="F223" s="138"/>
      <c r="G223" s="138"/>
    </row>
    <row r="224" spans="1:7" ht="15">
      <c r="A224" s="138" t="s">
        <v>664</v>
      </c>
      <c r="B224" s="138" t="s">
        <v>665</v>
      </c>
      <c r="C224" s="138"/>
      <c r="D224" s="138"/>
      <c r="E224" s="138"/>
      <c r="F224" s="138"/>
      <c r="G224" s="138"/>
    </row>
    <row r="225" spans="1:7" ht="15">
      <c r="A225" s="138" t="s">
        <v>666</v>
      </c>
      <c r="B225" s="138" t="s">
        <v>667</v>
      </c>
      <c r="C225" s="138"/>
      <c r="D225" s="138"/>
      <c r="E225" s="138"/>
      <c r="F225" s="138"/>
      <c r="G225" s="138"/>
    </row>
    <row r="226" spans="1:7" ht="15">
      <c r="A226" s="138" t="s">
        <v>640</v>
      </c>
      <c r="B226" s="138" t="s">
        <v>668</v>
      </c>
      <c r="C226" s="138"/>
      <c r="D226" s="138"/>
      <c r="E226" s="138"/>
      <c r="F226" s="138"/>
      <c r="G226" s="138"/>
    </row>
    <row r="227" spans="1:7" ht="15">
      <c r="A227" s="138" t="s">
        <v>669</v>
      </c>
      <c r="B227" s="138"/>
      <c r="C227" s="138"/>
      <c r="D227" s="138"/>
      <c r="E227" s="138"/>
      <c r="F227" s="138"/>
      <c r="G227" s="138"/>
    </row>
    <row r="228" spans="1:7" ht="15">
      <c r="A228" s="138" t="s">
        <v>597</v>
      </c>
      <c r="B228" s="138">
        <v>3.4</v>
      </c>
      <c r="C228" s="138">
        <v>0.67</v>
      </c>
      <c r="D228" s="138" t="s">
        <v>670</v>
      </c>
      <c r="E228" s="138" t="s">
        <v>671</v>
      </c>
      <c r="F228" s="138">
        <v>1</v>
      </c>
      <c r="G228" s="138" t="s">
        <v>672</v>
      </c>
    </row>
    <row r="229" spans="1:7" ht="15">
      <c r="A229" s="138" t="s">
        <v>599</v>
      </c>
      <c r="B229" s="138">
        <v>9.6</v>
      </c>
      <c r="C229" s="138">
        <v>0.67</v>
      </c>
      <c r="D229" s="138" t="s">
        <v>670</v>
      </c>
      <c r="E229" s="138" t="s">
        <v>671</v>
      </c>
      <c r="F229" s="138">
        <v>1</v>
      </c>
      <c r="G229" s="138" t="s">
        <v>672</v>
      </c>
    </row>
    <row r="230" spans="1:7" ht="15">
      <c r="A230" s="138" t="s">
        <v>601</v>
      </c>
      <c r="B230" s="138">
        <v>2.88</v>
      </c>
      <c r="C230" s="138">
        <v>0.67</v>
      </c>
      <c r="D230" s="138" t="s">
        <v>670</v>
      </c>
      <c r="E230" s="138" t="s">
        <v>671</v>
      </c>
      <c r="F230" s="138">
        <v>1</v>
      </c>
      <c r="G230" s="138" t="s">
        <v>672</v>
      </c>
    </row>
    <row r="231" spans="1:7" ht="15">
      <c r="A231" s="138" t="s">
        <v>603</v>
      </c>
      <c r="B231" s="138">
        <v>2.4</v>
      </c>
      <c r="C231" s="138">
        <v>0.67</v>
      </c>
      <c r="D231" s="138" t="s">
        <v>670</v>
      </c>
      <c r="E231" s="138" t="s">
        <v>671</v>
      </c>
      <c r="F231" s="138">
        <v>1</v>
      </c>
      <c r="G231" s="138" t="s">
        <v>672</v>
      </c>
    </row>
    <row r="232" spans="1:7" ht="15">
      <c r="A232" s="138" t="s">
        <v>605</v>
      </c>
      <c r="B232" s="138">
        <v>3.78</v>
      </c>
      <c r="C232" s="138">
        <v>0.67</v>
      </c>
      <c r="D232" s="138" t="s">
        <v>670</v>
      </c>
      <c r="E232" s="138" t="s">
        <v>671</v>
      </c>
      <c r="F232" s="138">
        <v>1</v>
      </c>
      <c r="G232" s="138" t="s">
        <v>673</v>
      </c>
    </row>
    <row r="233" spans="1:7" ht="15">
      <c r="A233" s="138" t="s">
        <v>607</v>
      </c>
      <c r="B233" s="138">
        <v>5.76</v>
      </c>
      <c r="C233" s="138">
        <v>0.67</v>
      </c>
      <c r="D233" s="138" t="s">
        <v>670</v>
      </c>
      <c r="E233" s="138" t="s">
        <v>671</v>
      </c>
      <c r="F233" s="138">
        <v>1</v>
      </c>
      <c r="G233" s="138" t="s">
        <v>673</v>
      </c>
    </row>
    <row r="234" spans="1:7" ht="15">
      <c r="A234" s="138" t="s">
        <v>603</v>
      </c>
      <c r="B234" s="138">
        <v>2.4</v>
      </c>
      <c r="C234" s="138">
        <v>0.67</v>
      </c>
      <c r="D234" s="138" t="s">
        <v>670</v>
      </c>
      <c r="E234" s="138" t="s">
        <v>671</v>
      </c>
      <c r="F234" s="138">
        <v>1</v>
      </c>
      <c r="G234" s="138" t="s">
        <v>673</v>
      </c>
    </row>
    <row r="235" spans="1:7" ht="15">
      <c r="A235" s="138" t="s">
        <v>609</v>
      </c>
      <c r="B235" s="138">
        <v>6.72</v>
      </c>
      <c r="C235" s="138">
        <v>0.67</v>
      </c>
      <c r="D235" s="138" t="s">
        <v>670</v>
      </c>
      <c r="E235" s="138" t="s">
        <v>671</v>
      </c>
      <c r="F235" s="138">
        <v>1</v>
      </c>
      <c r="G235" s="138" t="s">
        <v>673</v>
      </c>
    </row>
    <row r="236" spans="1:7" ht="15">
      <c r="A236" s="138" t="s">
        <v>611</v>
      </c>
      <c r="B236" s="138">
        <v>23.52</v>
      </c>
      <c r="C236" s="138">
        <v>0.67</v>
      </c>
      <c r="D236" s="138" t="s">
        <v>670</v>
      </c>
      <c r="E236" s="138" t="s">
        <v>671</v>
      </c>
      <c r="F236" s="138">
        <v>1</v>
      </c>
      <c r="G236" s="138" t="s">
        <v>672</v>
      </c>
    </row>
    <row r="237" spans="1:7" ht="15">
      <c r="A237" s="138" t="s">
        <v>613</v>
      </c>
      <c r="B237" s="138">
        <v>67.2</v>
      </c>
      <c r="C237" s="138">
        <v>0.67</v>
      </c>
      <c r="D237" s="138" t="s">
        <v>670</v>
      </c>
      <c r="E237" s="138" t="s">
        <v>671</v>
      </c>
      <c r="F237" s="138">
        <v>1</v>
      </c>
      <c r="G237" s="138" t="s">
        <v>672</v>
      </c>
    </row>
    <row r="238" spans="1:7" ht="15">
      <c r="A238" s="138" t="s">
        <v>615</v>
      </c>
      <c r="B238" s="138">
        <v>20.16</v>
      </c>
      <c r="C238" s="138">
        <v>0.67</v>
      </c>
      <c r="D238" s="138" t="s">
        <v>670</v>
      </c>
      <c r="E238" s="138" t="s">
        <v>671</v>
      </c>
      <c r="F238" s="138">
        <v>1</v>
      </c>
      <c r="G238" s="138" t="s">
        <v>672</v>
      </c>
    </row>
    <row r="239" spans="1:7" ht="15">
      <c r="A239" s="138" t="s">
        <v>617</v>
      </c>
      <c r="B239" s="138">
        <v>16.8</v>
      </c>
      <c r="C239" s="138">
        <v>0.67</v>
      </c>
      <c r="D239" s="138" t="s">
        <v>670</v>
      </c>
      <c r="E239" s="138" t="s">
        <v>671</v>
      </c>
      <c r="F239" s="138">
        <v>1</v>
      </c>
      <c r="G239" s="138" t="s">
        <v>672</v>
      </c>
    </row>
    <row r="240" spans="1:7" ht="15">
      <c r="A240" s="138" t="s">
        <v>619</v>
      </c>
      <c r="B240" s="138">
        <v>26.46</v>
      </c>
      <c r="C240" s="138">
        <v>0.67</v>
      </c>
      <c r="D240" s="138" t="s">
        <v>670</v>
      </c>
      <c r="E240" s="138" t="s">
        <v>671</v>
      </c>
      <c r="F240" s="138">
        <v>1</v>
      </c>
      <c r="G240" s="138" t="s">
        <v>673</v>
      </c>
    </row>
    <row r="241" spans="1:7" ht="15">
      <c r="A241" s="138" t="s">
        <v>621</v>
      </c>
      <c r="B241" s="138">
        <v>40.32</v>
      </c>
      <c r="C241" s="138">
        <v>0.67</v>
      </c>
      <c r="D241" s="138" t="s">
        <v>670</v>
      </c>
      <c r="E241" s="138" t="s">
        <v>671</v>
      </c>
      <c r="F241" s="138">
        <v>1</v>
      </c>
      <c r="G241" s="138" t="s">
        <v>673</v>
      </c>
    </row>
    <row r="242" spans="1:7" ht="15">
      <c r="A242" s="138" t="s">
        <v>613</v>
      </c>
      <c r="B242" s="138">
        <v>33.6</v>
      </c>
      <c r="C242" s="138">
        <v>0.67</v>
      </c>
      <c r="D242" s="138" t="s">
        <v>670</v>
      </c>
      <c r="E242" s="138" t="s">
        <v>671</v>
      </c>
      <c r="F242" s="138">
        <v>1</v>
      </c>
      <c r="G242" s="138" t="s">
        <v>673</v>
      </c>
    </row>
    <row r="243" spans="1:7" ht="15">
      <c r="A243" s="138" t="s">
        <v>611</v>
      </c>
      <c r="B243" s="138">
        <v>47.04</v>
      </c>
      <c r="C243" s="138">
        <v>0.67</v>
      </c>
      <c r="D243" s="138" t="s">
        <v>670</v>
      </c>
      <c r="E243" s="138" t="s">
        <v>671</v>
      </c>
      <c r="F243" s="138">
        <v>1</v>
      </c>
      <c r="G243" s="138" t="s">
        <v>673</v>
      </c>
    </row>
    <row r="244" spans="1:7" ht="15">
      <c r="A244" s="138" t="s">
        <v>617</v>
      </c>
      <c r="B244" s="138">
        <v>16.8</v>
      </c>
      <c r="C244" s="138">
        <v>0.67</v>
      </c>
      <c r="D244" s="138" t="s">
        <v>670</v>
      </c>
      <c r="E244" s="138" t="s">
        <v>671</v>
      </c>
      <c r="F244" s="138">
        <v>1</v>
      </c>
      <c r="G244" s="138" t="s">
        <v>673</v>
      </c>
    </row>
    <row r="245" spans="1:7" ht="15">
      <c r="A245" s="138" t="s">
        <v>674</v>
      </c>
      <c r="B245" s="138"/>
      <c r="C245" s="138"/>
      <c r="D245" s="138"/>
      <c r="E245" s="138"/>
      <c r="F245" s="138"/>
      <c r="G245" s="138"/>
    </row>
    <row r="246" spans="1:7" ht="15">
      <c r="A246" s="138" t="s">
        <v>675</v>
      </c>
      <c r="B246" s="138"/>
      <c r="C246" s="138"/>
      <c r="D246" s="138"/>
      <c r="E246" s="138"/>
      <c r="F246" s="138"/>
      <c r="G246" s="138"/>
    </row>
    <row r="247" spans="1:7" ht="15">
      <c r="A247" s="138" t="s">
        <v>676</v>
      </c>
      <c r="B247" s="138"/>
      <c r="C247" s="138"/>
      <c r="D247" s="138"/>
      <c r="E247" s="138"/>
      <c r="F247" s="138"/>
      <c r="G247" s="138"/>
    </row>
    <row r="248" spans="1:7" ht="15">
      <c r="A248" s="138" t="s">
        <v>677</v>
      </c>
      <c r="B248" s="138"/>
      <c r="C248" s="138"/>
      <c r="D248" s="138"/>
      <c r="E248" s="138"/>
      <c r="F248" s="138"/>
      <c r="G248" s="138"/>
    </row>
    <row r="249" spans="1:7" ht="15">
      <c r="A249" s="138" t="s">
        <v>678</v>
      </c>
      <c r="B249" s="138">
        <v>1</v>
      </c>
      <c r="C249" s="138">
        <v>2</v>
      </c>
      <c r="D249" s="138">
        <v>3</v>
      </c>
      <c r="E249" s="138">
        <v>4</v>
      </c>
      <c r="F249" s="138">
        <v>5</v>
      </c>
      <c r="G249" s="138">
        <v>6</v>
      </c>
    </row>
    <row r="250" spans="1:7" ht="15">
      <c r="A250" s="138" t="s">
        <v>679</v>
      </c>
      <c r="B250" s="138">
        <v>9266.2000000000007</v>
      </c>
      <c r="C250" s="138">
        <v>14676.7</v>
      </c>
      <c r="D250" s="138">
        <v>24587.3</v>
      </c>
      <c r="E250" s="138">
        <v>35180.199999999997</v>
      </c>
      <c r="F250" s="138">
        <v>40175</v>
      </c>
      <c r="G250" s="138">
        <v>40057.800000000003</v>
      </c>
    </row>
    <row r="251" spans="1:7" ht="15">
      <c r="A251" s="138" t="s">
        <v>678</v>
      </c>
      <c r="B251" s="138">
        <v>7</v>
      </c>
      <c r="C251" s="138">
        <v>8</v>
      </c>
      <c r="D251" s="138">
        <v>9</v>
      </c>
      <c r="E251" s="138">
        <v>10</v>
      </c>
      <c r="F251" s="138">
        <v>11</v>
      </c>
      <c r="G251" s="138">
        <v>12</v>
      </c>
    </row>
    <row r="252" spans="1:7" ht="15">
      <c r="A252" s="138" t="s">
        <v>679</v>
      </c>
      <c r="B252" s="138">
        <v>38468.699999999997</v>
      </c>
      <c r="C252" s="138">
        <v>38789.300000000003</v>
      </c>
      <c r="D252" s="138">
        <v>27034.2</v>
      </c>
      <c r="E252" s="138">
        <v>21550.7</v>
      </c>
      <c r="F252" s="138">
        <v>11476.3</v>
      </c>
      <c r="G252" s="138">
        <v>7752.9</v>
      </c>
    </row>
    <row r="253" spans="1:7" ht="15">
      <c r="A253" s="138" t="s">
        <v>680</v>
      </c>
      <c r="B253" s="138"/>
      <c r="C253" s="138"/>
      <c r="D253" s="138"/>
      <c r="E253" s="138"/>
      <c r="F253" s="138"/>
      <c r="G253" s="138"/>
    </row>
    <row r="254" spans="1:7" ht="15">
      <c r="A254" s="138" t="s">
        <v>552</v>
      </c>
      <c r="B254" s="138"/>
      <c r="C254" s="138"/>
      <c r="D254" s="138"/>
      <c r="E254" s="138"/>
      <c r="F254" s="138"/>
      <c r="G254" s="138"/>
    </row>
    <row r="255" spans="1:7" ht="15">
      <c r="A255" s="138" t="s">
        <v>681</v>
      </c>
      <c r="B255" s="138"/>
      <c r="C255" s="138"/>
      <c r="D255" s="138"/>
      <c r="E255" s="138"/>
      <c r="F255" s="138"/>
      <c r="G255" s="138"/>
    </row>
    <row r="256" spans="1:7" ht="15">
      <c r="A256" s="138" t="s">
        <v>554</v>
      </c>
      <c r="B256" s="138"/>
      <c r="C256" s="138"/>
      <c r="D256" s="138"/>
      <c r="E256" s="138"/>
      <c r="F256" s="138"/>
      <c r="G256" s="138"/>
    </row>
    <row r="257" spans="1:7" ht="15">
      <c r="A257" s="138" t="s">
        <v>555</v>
      </c>
      <c r="B257" s="138"/>
      <c r="C257" s="138"/>
      <c r="D257" s="138"/>
      <c r="E257" s="138"/>
      <c r="F257" s="138"/>
      <c r="G257" s="138"/>
    </row>
    <row r="258" spans="1:7" ht="15">
      <c r="A258" s="138" t="s">
        <v>682</v>
      </c>
      <c r="B258" s="138"/>
      <c r="C258" s="138"/>
      <c r="D258" s="138"/>
      <c r="E258" s="138"/>
      <c r="F258" s="138"/>
      <c r="G258" s="138"/>
    </row>
    <row r="259" spans="1:7" ht="15">
      <c r="A259" s="138" t="s">
        <v>557</v>
      </c>
      <c r="B259" s="138"/>
      <c r="C259" s="138"/>
      <c r="D259" s="138"/>
      <c r="E259" s="138"/>
      <c r="F259" s="138"/>
      <c r="G259" s="138"/>
    </row>
    <row r="260" spans="1:7" ht="15">
      <c r="A260" s="138" t="s">
        <v>683</v>
      </c>
      <c r="B260" s="138"/>
      <c r="C260" s="138"/>
      <c r="D260" s="138"/>
      <c r="E260" s="138"/>
      <c r="F260" s="138"/>
      <c r="G260" s="138"/>
    </row>
    <row r="261" spans="1:7" ht="15">
      <c r="A261" s="138" t="s">
        <v>559</v>
      </c>
      <c r="B261" s="138"/>
      <c r="C261" s="138"/>
      <c r="D261" s="138"/>
      <c r="E261" s="138"/>
      <c r="F261" s="138"/>
      <c r="G261" s="138"/>
    </row>
    <row r="262" spans="1:7" ht="15">
      <c r="A262" s="138" t="s">
        <v>560</v>
      </c>
      <c r="B262" s="138"/>
      <c r="C262" s="138"/>
      <c r="D262" s="138"/>
      <c r="E262" s="138"/>
      <c r="F262" s="138"/>
      <c r="G262" s="138"/>
    </row>
    <row r="263" spans="1:7" ht="15">
      <c r="A263" s="138" t="s">
        <v>684</v>
      </c>
    </row>
    <row r="264" spans="1:7" ht="15">
      <c r="A264" s="138" t="s">
        <v>685</v>
      </c>
    </row>
    <row r="265" spans="1:7" ht="15">
      <c r="A265" s="138" t="s">
        <v>686</v>
      </c>
    </row>
    <row r="266" spans="1:7" ht="15">
      <c r="A266" s="138" t="s">
        <v>564</v>
      </c>
    </row>
    <row r="267" spans="1:7" ht="15">
      <c r="A267" s="138" t="s">
        <v>687</v>
      </c>
    </row>
    <row r="268" spans="1:7" ht="15">
      <c r="A268" s="138" t="s">
        <v>566</v>
      </c>
    </row>
    <row r="269" spans="1:7" ht="15">
      <c r="A269" s="138" t="s">
        <v>567</v>
      </c>
    </row>
    <row r="270" spans="1:7" ht="15">
      <c r="A270" s="138" t="s">
        <v>568</v>
      </c>
    </row>
    <row r="271" spans="1:7" ht="15">
      <c r="A271" s="138" t="s">
        <v>688</v>
      </c>
    </row>
    <row r="272" spans="1:7" ht="15">
      <c r="A272" s="138" t="s">
        <v>689</v>
      </c>
    </row>
    <row r="273" spans="1:2" ht="15">
      <c r="A273" s="138" t="s">
        <v>690</v>
      </c>
    </row>
    <row r="274" spans="1:2" ht="15">
      <c r="A274" s="138" t="s">
        <v>571</v>
      </c>
    </row>
    <row r="275" spans="1:2" ht="15">
      <c r="A275" s="138" t="s">
        <v>572</v>
      </c>
    </row>
    <row r="276" spans="1:2" ht="15">
      <c r="A276" s="138" t="s">
        <v>573</v>
      </c>
    </row>
    <row r="277" spans="1:2" ht="15">
      <c r="A277" s="138" t="s">
        <v>574</v>
      </c>
    </row>
    <row r="278" spans="1:2" ht="15">
      <c r="A278" s="138" t="s">
        <v>575</v>
      </c>
    </row>
    <row r="279" spans="1:2" ht="15">
      <c r="A279" s="138" t="s">
        <v>576</v>
      </c>
      <c r="B279" s="138"/>
    </row>
    <row r="280" spans="1:2" ht="15">
      <c r="A280" s="138" t="s">
        <v>691</v>
      </c>
      <c r="B280" s="138"/>
    </row>
    <row r="281" spans="1:2" ht="15">
      <c r="A281" s="138" t="s">
        <v>692</v>
      </c>
      <c r="B281" s="138"/>
    </row>
    <row r="282" spans="1:2" ht="15">
      <c r="A282" s="138" t="s">
        <v>693</v>
      </c>
      <c r="B282" s="138" t="s">
        <v>694</v>
      </c>
    </row>
    <row r="283" spans="1:2" ht="15">
      <c r="A283" s="138" t="s">
        <v>695</v>
      </c>
      <c r="B283" s="139">
        <v>0.82499999999999996</v>
      </c>
    </row>
    <row r="284" spans="1:2" ht="15">
      <c r="A284" s="138" t="s">
        <v>696</v>
      </c>
      <c r="B284" s="138"/>
    </row>
    <row r="285" spans="1:2" ht="15">
      <c r="A285" s="138" t="s">
        <v>697</v>
      </c>
      <c r="B285" s="138" t="s">
        <v>698</v>
      </c>
    </row>
    <row r="286" spans="1:2" ht="15">
      <c r="A286" s="138" t="s">
        <v>699</v>
      </c>
      <c r="B286" s="138" t="s">
        <v>698</v>
      </c>
    </row>
    <row r="287" spans="1:2" ht="15">
      <c r="A287" s="138" t="s">
        <v>700</v>
      </c>
      <c r="B287" s="138"/>
    </row>
    <row r="288" spans="1:2" ht="15">
      <c r="A288" s="138" t="s">
        <v>701</v>
      </c>
      <c r="B288" s="138"/>
    </row>
    <row r="289" spans="1:6" ht="15">
      <c r="A289" s="138" t="s">
        <v>582</v>
      </c>
      <c r="B289" s="138"/>
    </row>
    <row r="290" spans="1:6" ht="15">
      <c r="A290" s="138" t="s">
        <v>702</v>
      </c>
      <c r="B290" s="138" t="s">
        <v>583</v>
      </c>
    </row>
    <row r="291" spans="1:6" ht="15">
      <c r="A291" s="138" t="s">
        <v>703</v>
      </c>
      <c r="B291" s="138" t="s">
        <v>584</v>
      </c>
    </row>
    <row r="292" spans="1:6" ht="15">
      <c r="A292" s="138" t="s">
        <v>704</v>
      </c>
      <c r="B292" s="138" t="s">
        <v>585</v>
      </c>
    </row>
    <row r="293" spans="1:6" ht="15">
      <c r="A293" s="138" t="s">
        <v>705</v>
      </c>
      <c r="B293" s="138" t="s">
        <v>586</v>
      </c>
    </row>
    <row r="294" spans="1:6" ht="15">
      <c r="A294" s="138" t="s">
        <v>706</v>
      </c>
      <c r="B294" s="138" t="s">
        <v>587</v>
      </c>
    </row>
    <row r="295" spans="1:6" ht="15">
      <c r="A295" s="138" t="s">
        <v>707</v>
      </c>
      <c r="B295" s="138"/>
      <c r="C295" s="138"/>
      <c r="D295" s="138"/>
      <c r="E295" s="138"/>
      <c r="F295" s="138"/>
    </row>
    <row r="296" spans="1:6" ht="15">
      <c r="A296" s="138" t="s">
        <v>708</v>
      </c>
      <c r="B296" s="138">
        <v>9.91</v>
      </c>
      <c r="C296" s="138">
        <v>0.22</v>
      </c>
      <c r="D296" s="138">
        <v>1</v>
      </c>
      <c r="E296" s="138">
        <v>2.1800000000000002</v>
      </c>
      <c r="F296" s="138">
        <v>0.3</v>
      </c>
    </row>
    <row r="297" spans="1:6" ht="15">
      <c r="A297" s="138" t="s">
        <v>709</v>
      </c>
      <c r="B297" s="138">
        <v>48.15</v>
      </c>
      <c r="C297" s="138">
        <v>0.22</v>
      </c>
      <c r="D297" s="138">
        <v>1</v>
      </c>
      <c r="E297" s="138">
        <v>10.593</v>
      </c>
      <c r="F297" s="138">
        <v>0.3</v>
      </c>
    </row>
    <row r="298" spans="1:6" ht="15">
      <c r="A298" s="138" t="s">
        <v>596</v>
      </c>
      <c r="B298" s="138">
        <v>22.96</v>
      </c>
      <c r="C298" s="138">
        <v>0.15</v>
      </c>
      <c r="D298" s="138">
        <v>1</v>
      </c>
      <c r="E298" s="138">
        <v>3.444</v>
      </c>
      <c r="F298" s="138">
        <v>0.24</v>
      </c>
    </row>
    <row r="299" spans="1:6" ht="15">
      <c r="A299" s="138" t="s">
        <v>710</v>
      </c>
      <c r="B299" s="138" t="s">
        <v>711</v>
      </c>
      <c r="C299" s="138">
        <v>1.7</v>
      </c>
      <c r="D299" s="138">
        <v>1</v>
      </c>
      <c r="E299" s="138">
        <v>5.7119999999999997</v>
      </c>
      <c r="F299" s="138">
        <v>1.7</v>
      </c>
    </row>
    <row r="300" spans="1:6" ht="15">
      <c r="A300" s="138" t="s">
        <v>712</v>
      </c>
      <c r="B300" s="138" t="s">
        <v>713</v>
      </c>
      <c r="C300" s="138">
        <v>1.3</v>
      </c>
      <c r="D300" s="138">
        <v>1</v>
      </c>
      <c r="E300" s="138">
        <v>0.83199999999999996</v>
      </c>
      <c r="F300" s="138">
        <v>1.5</v>
      </c>
    </row>
    <row r="301" spans="1:6" ht="15">
      <c r="A301" s="138" t="s">
        <v>714</v>
      </c>
      <c r="B301" s="138" t="s">
        <v>715</v>
      </c>
      <c r="C301" s="138">
        <v>1.3</v>
      </c>
      <c r="D301" s="138">
        <v>1</v>
      </c>
      <c r="E301" s="138">
        <v>6.24</v>
      </c>
      <c r="F301" s="138">
        <v>1.5</v>
      </c>
    </row>
    <row r="302" spans="1:6" ht="15">
      <c r="A302" s="138" t="s">
        <v>714</v>
      </c>
      <c r="B302" s="138" t="s">
        <v>716</v>
      </c>
      <c r="C302" s="138">
        <v>1.3</v>
      </c>
      <c r="D302" s="138">
        <v>1</v>
      </c>
      <c r="E302" s="138">
        <v>37.44</v>
      </c>
      <c r="F302" s="138">
        <v>1.5</v>
      </c>
    </row>
    <row r="303" spans="1:6" ht="15">
      <c r="A303" s="138" t="s">
        <v>717</v>
      </c>
      <c r="B303" s="138" t="s">
        <v>711</v>
      </c>
      <c r="C303" s="138">
        <v>1.7</v>
      </c>
      <c r="D303" s="138">
        <v>1</v>
      </c>
      <c r="E303" s="138">
        <v>5.7119999999999997</v>
      </c>
      <c r="F303" s="138">
        <v>1.7</v>
      </c>
    </row>
    <row r="304" spans="1:6" ht="15">
      <c r="A304" s="138" t="s">
        <v>718</v>
      </c>
      <c r="B304" s="138" t="s">
        <v>719</v>
      </c>
      <c r="C304" s="138">
        <v>1.3</v>
      </c>
      <c r="D304" s="138">
        <v>1</v>
      </c>
      <c r="E304" s="138">
        <v>4.5759999999999996</v>
      </c>
      <c r="F304" s="138">
        <v>1.5</v>
      </c>
    </row>
    <row r="305" spans="1:6" ht="15">
      <c r="A305" s="138" t="s">
        <v>720</v>
      </c>
      <c r="B305" s="138" t="s">
        <v>598</v>
      </c>
      <c r="C305" s="138">
        <v>1.3</v>
      </c>
      <c r="D305" s="138">
        <v>1</v>
      </c>
      <c r="E305" s="138">
        <v>4.3680000000000003</v>
      </c>
      <c r="F305" s="138">
        <v>1.5</v>
      </c>
    </row>
    <row r="306" spans="1:6" ht="15">
      <c r="A306" s="138" t="s">
        <v>625</v>
      </c>
      <c r="B306" s="138"/>
      <c r="C306" s="138"/>
      <c r="D306" s="138"/>
      <c r="E306" s="138"/>
      <c r="F306" s="138"/>
    </row>
    <row r="307" spans="1:6" ht="15">
      <c r="A307" s="138" t="s">
        <v>626</v>
      </c>
      <c r="B307" s="138"/>
      <c r="C307" s="138"/>
      <c r="D307" s="138"/>
      <c r="E307" s="138"/>
      <c r="F307" s="138"/>
    </row>
    <row r="308" spans="1:6" ht="15">
      <c r="A308" s="138" t="s">
        <v>627</v>
      </c>
      <c r="B308" s="138"/>
      <c r="C308" s="138"/>
      <c r="D308" s="138"/>
      <c r="E308" s="138"/>
      <c r="F308" s="138"/>
    </row>
    <row r="309" spans="1:6" ht="15">
      <c r="A309" s="138" t="s">
        <v>628</v>
      </c>
      <c r="B309" s="138"/>
      <c r="C309" s="138"/>
      <c r="D309" s="138"/>
      <c r="E309" s="138"/>
      <c r="F309" s="138"/>
    </row>
    <row r="310" spans="1:6" ht="15">
      <c r="A310" s="138" t="s">
        <v>721</v>
      </c>
      <c r="B310" s="138"/>
      <c r="C310" s="138"/>
      <c r="D310" s="138"/>
      <c r="E310" s="138"/>
      <c r="F310" s="138"/>
    </row>
    <row r="311" spans="1:6" ht="15">
      <c r="A311" s="138" t="s">
        <v>722</v>
      </c>
      <c r="B311" s="138"/>
    </row>
    <row r="312" spans="1:6" ht="15">
      <c r="A312" s="138" t="s">
        <v>723</v>
      </c>
      <c r="B312" s="138"/>
    </row>
    <row r="313" spans="1:6" ht="15">
      <c r="A313" s="138" t="s">
        <v>632</v>
      </c>
      <c r="B313" s="138"/>
    </row>
    <row r="314" spans="1:6" ht="15">
      <c r="A314" s="138" t="s">
        <v>633</v>
      </c>
      <c r="B314" s="138"/>
    </row>
    <row r="315" spans="1:6" ht="15">
      <c r="A315" s="138" t="s">
        <v>724</v>
      </c>
      <c r="B315" s="138" t="s">
        <v>636</v>
      </c>
    </row>
    <row r="316" spans="1:6" ht="15">
      <c r="A316" s="138" t="s">
        <v>725</v>
      </c>
      <c r="B316" s="138"/>
    </row>
    <row r="317" spans="1:6" ht="15">
      <c r="A317" s="138" t="s">
        <v>726</v>
      </c>
      <c r="B317" s="138" t="s">
        <v>727</v>
      </c>
    </row>
    <row r="318" spans="1:6" ht="15">
      <c r="A318" s="138" t="s">
        <v>728</v>
      </c>
      <c r="B318" s="138" t="s">
        <v>729</v>
      </c>
    </row>
    <row r="319" spans="1:6" ht="15">
      <c r="A319" s="138" t="s">
        <v>730</v>
      </c>
      <c r="B319" s="138">
        <v>1</v>
      </c>
    </row>
    <row r="320" spans="1:6" ht="15">
      <c r="A320" s="138" t="s">
        <v>731</v>
      </c>
      <c r="B320" s="138" t="s">
        <v>732</v>
      </c>
    </row>
    <row r="321" spans="1:2" ht="15">
      <c r="A321" s="138" t="s">
        <v>733</v>
      </c>
      <c r="B321" s="138" t="s">
        <v>734</v>
      </c>
    </row>
    <row r="322" spans="1:2" ht="15">
      <c r="A322" s="138" t="s">
        <v>643</v>
      </c>
      <c r="B322" s="138"/>
    </row>
    <row r="323" spans="1:2" ht="15">
      <c r="A323" s="138" t="s">
        <v>644</v>
      </c>
      <c r="B323" s="138"/>
    </row>
    <row r="324" spans="1:2" ht="15">
      <c r="A324" s="138" t="s">
        <v>735</v>
      </c>
      <c r="B324" s="138"/>
    </row>
    <row r="325" spans="1:2" ht="15">
      <c r="A325" s="138" t="s">
        <v>646</v>
      </c>
      <c r="B325" s="138"/>
    </row>
    <row r="326" spans="1:2" ht="15">
      <c r="A326" s="138" t="s">
        <v>647</v>
      </c>
      <c r="B326" s="138"/>
    </row>
    <row r="327" spans="1:2" ht="15">
      <c r="A327" s="138" t="s">
        <v>648</v>
      </c>
      <c r="B327" s="138"/>
    </row>
    <row r="328" spans="1:2" ht="15">
      <c r="A328" s="138" t="s">
        <v>649</v>
      </c>
      <c r="B328" s="138"/>
    </row>
    <row r="329" spans="1:2" ht="15">
      <c r="A329" s="138" t="s">
        <v>736</v>
      </c>
      <c r="B329" s="138"/>
    </row>
    <row r="330" spans="1:2" ht="15">
      <c r="A330" s="138" t="s">
        <v>651</v>
      </c>
      <c r="B330" s="138"/>
    </row>
    <row r="331" spans="1:2" ht="15">
      <c r="A331" s="138" t="s">
        <v>737</v>
      </c>
      <c r="B331" s="138"/>
    </row>
    <row r="332" spans="1:2" ht="15">
      <c r="A332" s="138" t="s">
        <v>738</v>
      </c>
      <c r="B332" s="138"/>
    </row>
    <row r="333" spans="1:2" ht="15">
      <c r="A333" s="138" t="s">
        <v>739</v>
      </c>
      <c r="B333" s="138"/>
    </row>
    <row r="334" spans="1:2" ht="15">
      <c r="A334" s="138" t="s">
        <v>740</v>
      </c>
      <c r="B334" s="138"/>
    </row>
    <row r="335" spans="1:2" ht="15">
      <c r="A335" s="138" t="s">
        <v>741</v>
      </c>
      <c r="B335" s="138"/>
    </row>
    <row r="336" spans="1:2" ht="15">
      <c r="A336" s="138" t="s">
        <v>742</v>
      </c>
      <c r="B336" s="138"/>
    </row>
    <row r="337" spans="1:7" ht="15">
      <c r="A337" s="138" t="s">
        <v>743</v>
      </c>
      <c r="B337" s="138"/>
    </row>
    <row r="338" spans="1:7" ht="15">
      <c r="A338" s="138" t="s">
        <v>744</v>
      </c>
      <c r="B338" s="138"/>
    </row>
    <row r="339" spans="1:7" ht="15">
      <c r="A339" s="138" t="s">
        <v>582</v>
      </c>
      <c r="B339" s="138"/>
    </row>
    <row r="340" spans="1:7" ht="15">
      <c r="A340" s="138" t="s">
        <v>745</v>
      </c>
      <c r="B340" s="138" t="s">
        <v>583</v>
      </c>
    </row>
    <row r="341" spans="1:7" ht="15">
      <c r="A341" s="138" t="s">
        <v>660</v>
      </c>
      <c r="B341" s="138" t="s">
        <v>661</v>
      </c>
    </row>
    <row r="342" spans="1:7" ht="15">
      <c r="A342" s="138" t="s">
        <v>662</v>
      </c>
      <c r="B342" s="138" t="s">
        <v>663</v>
      </c>
    </row>
    <row r="343" spans="1:7" ht="15">
      <c r="A343" s="138" t="s">
        <v>746</v>
      </c>
      <c r="B343" s="138" t="s">
        <v>665</v>
      </c>
      <c r="C343" s="138"/>
      <c r="D343" s="138"/>
      <c r="E343" s="138"/>
      <c r="F343" s="138"/>
      <c r="G343" s="138"/>
    </row>
    <row r="344" spans="1:7" ht="15">
      <c r="A344" s="138" t="s">
        <v>666</v>
      </c>
      <c r="B344" s="138" t="s">
        <v>667</v>
      </c>
      <c r="C344" s="138"/>
      <c r="D344" s="138"/>
      <c r="E344" s="138"/>
      <c r="F344" s="138"/>
      <c r="G344" s="138"/>
    </row>
    <row r="345" spans="1:7" ht="15">
      <c r="A345" s="138" t="s">
        <v>640</v>
      </c>
      <c r="B345" s="138" t="s">
        <v>668</v>
      </c>
      <c r="C345" s="138"/>
      <c r="D345" s="138"/>
      <c r="E345" s="138"/>
      <c r="F345" s="138"/>
      <c r="G345" s="138"/>
    </row>
    <row r="346" spans="1:7" ht="15">
      <c r="A346" s="138" t="s">
        <v>669</v>
      </c>
      <c r="B346" s="138"/>
      <c r="C346" s="138"/>
      <c r="D346" s="138"/>
      <c r="E346" s="138"/>
      <c r="F346" s="138"/>
      <c r="G346" s="138"/>
    </row>
    <row r="347" spans="1:7" ht="15">
      <c r="A347" s="138" t="s">
        <v>712</v>
      </c>
      <c r="B347" s="138">
        <v>0.64</v>
      </c>
      <c r="C347" s="138">
        <v>0.67</v>
      </c>
      <c r="D347" s="138" t="s">
        <v>670</v>
      </c>
      <c r="E347" s="138" t="s">
        <v>671</v>
      </c>
      <c r="F347" s="138">
        <v>0.6</v>
      </c>
      <c r="G347" s="138" t="s">
        <v>672</v>
      </c>
    </row>
    <row r="348" spans="1:7" ht="15">
      <c r="A348" s="138" t="s">
        <v>714</v>
      </c>
      <c r="B348" s="138">
        <v>4.8</v>
      </c>
      <c r="C348" s="138">
        <v>0.67</v>
      </c>
      <c r="D348" s="138" t="s">
        <v>670</v>
      </c>
      <c r="E348" s="138" t="s">
        <v>671</v>
      </c>
      <c r="F348" s="138">
        <v>1</v>
      </c>
      <c r="G348" s="138" t="s">
        <v>672</v>
      </c>
    </row>
    <row r="349" spans="1:7" ht="15">
      <c r="A349" s="138" t="s">
        <v>714</v>
      </c>
      <c r="B349" s="138">
        <v>28.8</v>
      </c>
      <c r="C349" s="138">
        <v>0.67</v>
      </c>
      <c r="D349" s="138" t="s">
        <v>670</v>
      </c>
      <c r="E349" s="138" t="s">
        <v>671</v>
      </c>
      <c r="F349" s="138">
        <v>1</v>
      </c>
      <c r="G349" s="138" t="s">
        <v>672</v>
      </c>
    </row>
    <row r="350" spans="1:7" ht="15">
      <c r="A350" s="138" t="s">
        <v>717</v>
      </c>
      <c r="B350" s="138">
        <v>3.36</v>
      </c>
      <c r="C350" s="138">
        <v>0.67</v>
      </c>
      <c r="D350" s="138" t="s">
        <v>747</v>
      </c>
      <c r="E350" s="138" t="s">
        <v>671</v>
      </c>
      <c r="F350" s="138">
        <v>1</v>
      </c>
      <c r="G350" s="138" t="s">
        <v>673</v>
      </c>
    </row>
    <row r="351" spans="1:7" ht="15">
      <c r="A351" s="138" t="s">
        <v>718</v>
      </c>
      <c r="B351" s="138">
        <v>3.52</v>
      </c>
      <c r="C351" s="138">
        <v>0.67</v>
      </c>
      <c r="D351" s="138" t="s">
        <v>670</v>
      </c>
      <c r="E351" s="138" t="s">
        <v>671</v>
      </c>
      <c r="F351" s="138">
        <v>1</v>
      </c>
      <c r="G351" s="138" t="s">
        <v>673</v>
      </c>
    </row>
    <row r="352" spans="1:7" ht="15">
      <c r="A352" s="138" t="s">
        <v>720</v>
      </c>
      <c r="B352" s="138">
        <v>3.36</v>
      </c>
      <c r="C352" s="138">
        <v>0.67</v>
      </c>
      <c r="D352" s="138" t="s">
        <v>670</v>
      </c>
      <c r="E352" s="138" t="s">
        <v>671</v>
      </c>
      <c r="F352" s="138">
        <v>1</v>
      </c>
      <c r="G352" s="138" t="s">
        <v>673</v>
      </c>
    </row>
    <row r="353" spans="1:7" ht="15">
      <c r="A353" s="138" t="s">
        <v>674</v>
      </c>
      <c r="B353" s="138"/>
      <c r="C353" s="138"/>
      <c r="D353" s="138"/>
      <c r="E353" s="138"/>
      <c r="F353" s="138"/>
      <c r="G353" s="138"/>
    </row>
    <row r="354" spans="1:7" ht="15">
      <c r="A354" s="138" t="s">
        <v>675</v>
      </c>
      <c r="B354" s="138"/>
      <c r="C354" s="138"/>
      <c r="D354" s="138"/>
      <c r="E354" s="138"/>
      <c r="F354" s="138"/>
      <c r="G354" s="138"/>
    </row>
    <row r="355" spans="1:7" ht="15">
      <c r="A355" s="138" t="s">
        <v>676</v>
      </c>
      <c r="B355" s="138"/>
      <c r="C355" s="138"/>
      <c r="D355" s="138"/>
      <c r="E355" s="138"/>
      <c r="F355" s="138"/>
      <c r="G355" s="138"/>
    </row>
    <row r="356" spans="1:7" ht="15">
      <c r="A356" s="138" t="s">
        <v>677</v>
      </c>
      <c r="B356" s="138"/>
      <c r="C356" s="138"/>
      <c r="D356" s="138"/>
      <c r="E356" s="138"/>
      <c r="F356" s="138"/>
      <c r="G356" s="138"/>
    </row>
    <row r="357" spans="1:7" ht="15">
      <c r="A357" s="138" t="s">
        <v>678</v>
      </c>
      <c r="B357" s="138">
        <v>1</v>
      </c>
      <c r="C357" s="138">
        <v>2</v>
      </c>
      <c r="D357" s="138">
        <v>3</v>
      </c>
      <c r="E357" s="138">
        <v>4</v>
      </c>
      <c r="F357" s="138">
        <v>5</v>
      </c>
      <c r="G357" s="138">
        <v>6</v>
      </c>
    </row>
    <row r="358" spans="1:7" ht="15">
      <c r="A358" s="138" t="s">
        <v>679</v>
      </c>
      <c r="B358" s="138">
        <v>880.5</v>
      </c>
      <c r="C358" s="138">
        <v>1480.6</v>
      </c>
      <c r="D358" s="138">
        <v>2716.1</v>
      </c>
      <c r="E358" s="138">
        <v>4250.8999999999996</v>
      </c>
      <c r="F358" s="138">
        <v>5229.2</v>
      </c>
      <c r="G358" s="138">
        <v>5463.7</v>
      </c>
    </row>
    <row r="359" spans="1:7" ht="15">
      <c r="A359" s="138" t="s">
        <v>678</v>
      </c>
      <c r="B359" s="138">
        <v>7</v>
      </c>
      <c r="C359" s="138">
        <v>8</v>
      </c>
      <c r="D359" s="138">
        <v>9</v>
      </c>
      <c r="E359" s="138">
        <v>10</v>
      </c>
      <c r="F359" s="138">
        <v>11</v>
      </c>
      <c r="G359" s="138">
        <v>12</v>
      </c>
    </row>
    <row r="360" spans="1:7" ht="15">
      <c r="A360" s="138" t="s">
        <v>679</v>
      </c>
      <c r="B360" s="138">
        <v>5170.8</v>
      </c>
      <c r="C360" s="138">
        <v>4731.3</v>
      </c>
      <c r="D360" s="138">
        <v>3105.7</v>
      </c>
      <c r="E360" s="138">
        <v>2168</v>
      </c>
      <c r="F360" s="138">
        <v>1054.7</v>
      </c>
      <c r="G360" s="138">
        <v>696.4</v>
      </c>
    </row>
    <row r="361" spans="1:7" ht="15">
      <c r="A361" s="138" t="s">
        <v>748</v>
      </c>
      <c r="B361" s="138"/>
      <c r="C361" s="138"/>
      <c r="D361" s="138"/>
      <c r="E361" s="138"/>
      <c r="F361" s="138"/>
      <c r="G361" s="138"/>
    </row>
    <row r="362" spans="1:7" ht="15">
      <c r="A362" s="138" t="s">
        <v>749</v>
      </c>
      <c r="B362" s="138"/>
      <c r="C362" s="138"/>
      <c r="D362" s="138"/>
      <c r="E362" s="138"/>
      <c r="F362" s="138"/>
      <c r="G362" s="138"/>
    </row>
    <row r="363" spans="1:7" ht="15">
      <c r="A363" s="138" t="s">
        <v>750</v>
      </c>
      <c r="B363" s="138"/>
      <c r="C363" s="138"/>
      <c r="D363" s="138"/>
      <c r="E363" s="138"/>
      <c r="F363" s="138"/>
      <c r="G363" s="138"/>
    </row>
    <row r="364" spans="1:7" ht="15">
      <c r="A364" s="138" t="s">
        <v>751</v>
      </c>
      <c r="B364" s="138"/>
      <c r="C364" s="138"/>
      <c r="D364" s="138"/>
      <c r="E364" s="138"/>
      <c r="F364" s="138"/>
      <c r="G364" s="138"/>
    </row>
    <row r="365" spans="1:7" ht="15">
      <c r="A365" s="138" t="s">
        <v>752</v>
      </c>
      <c r="B365" s="138"/>
      <c r="C365" s="138"/>
      <c r="D365" s="138"/>
      <c r="E365" s="138"/>
      <c r="F365" s="138"/>
      <c r="G365" s="138"/>
    </row>
    <row r="366" spans="1:7" ht="15">
      <c r="A366" s="138" t="s">
        <v>753</v>
      </c>
      <c r="B366" s="138"/>
      <c r="C366" s="138"/>
      <c r="D366" s="138"/>
      <c r="E366" s="138"/>
      <c r="F366" s="138"/>
      <c r="G366" s="138"/>
    </row>
    <row r="367" spans="1:7" ht="15">
      <c r="A367" s="138" t="s">
        <v>754</v>
      </c>
      <c r="B367" s="138"/>
      <c r="C367" s="138"/>
      <c r="D367" s="138"/>
      <c r="E367" s="138"/>
      <c r="F367" s="138"/>
      <c r="G367" s="138"/>
    </row>
    <row r="368" spans="1:7" ht="15">
      <c r="A368" s="138" t="s">
        <v>553</v>
      </c>
      <c r="B368" s="138"/>
      <c r="C368" s="138"/>
      <c r="D368" s="138"/>
      <c r="E368" s="138"/>
      <c r="F368" s="138"/>
      <c r="G368" s="138"/>
    </row>
    <row r="369" spans="1:8" ht="15">
      <c r="A369" s="138" t="s">
        <v>755</v>
      </c>
      <c r="B369" s="138"/>
      <c r="C369" s="138"/>
      <c r="D369" s="138"/>
      <c r="E369" s="138"/>
      <c r="F369" s="138"/>
      <c r="G369" s="138"/>
    </row>
    <row r="370" spans="1:8" ht="15">
      <c r="A370" s="138" t="s">
        <v>756</v>
      </c>
      <c r="B370" s="138"/>
      <c r="C370" s="138"/>
      <c r="D370" s="138"/>
      <c r="E370" s="138"/>
      <c r="F370" s="138"/>
      <c r="G370" s="138"/>
    </row>
    <row r="371" spans="1:8" ht="15">
      <c r="A371" s="138" t="s">
        <v>757</v>
      </c>
      <c r="B371" s="138"/>
      <c r="C371" s="138"/>
      <c r="D371" s="138"/>
      <c r="E371" s="138"/>
      <c r="F371" s="138"/>
      <c r="G371" s="138"/>
    </row>
    <row r="372" spans="1:8" ht="15">
      <c r="A372" s="138" t="s">
        <v>758</v>
      </c>
      <c r="B372" s="138"/>
      <c r="C372" s="138"/>
      <c r="D372" s="138"/>
      <c r="E372" s="138"/>
      <c r="F372" s="138"/>
      <c r="G372" s="138"/>
    </row>
    <row r="373" spans="1:8" ht="15">
      <c r="A373" s="138" t="s">
        <v>759</v>
      </c>
      <c r="B373" s="138"/>
      <c r="C373" s="138"/>
      <c r="D373" s="138"/>
      <c r="E373" s="138"/>
      <c r="F373" s="138"/>
      <c r="G373" s="138"/>
    </row>
    <row r="374" spans="1:8" ht="15">
      <c r="A374" s="138" t="s">
        <v>760</v>
      </c>
      <c r="B374" s="138"/>
      <c r="C374" s="138"/>
      <c r="D374" s="138"/>
      <c r="E374" s="138"/>
      <c r="F374" s="138"/>
      <c r="G374" s="138"/>
    </row>
    <row r="375" spans="1:8" ht="15">
      <c r="A375" s="138" t="s">
        <v>761</v>
      </c>
      <c r="B375" s="138"/>
      <c r="C375" s="138"/>
      <c r="D375" s="138"/>
      <c r="E375" s="138"/>
      <c r="F375" s="138"/>
      <c r="G375" s="138"/>
      <c r="H375" s="138"/>
    </row>
    <row r="376" spans="1:8" ht="15">
      <c r="A376" s="138" t="s">
        <v>762</v>
      </c>
      <c r="B376" s="138"/>
      <c r="C376" s="138"/>
      <c r="D376" s="138"/>
      <c r="E376" s="138"/>
      <c r="F376" s="138"/>
      <c r="G376" s="138"/>
      <c r="H376" s="138"/>
    </row>
    <row r="377" spans="1:8" ht="15">
      <c r="A377" s="138" t="s">
        <v>763</v>
      </c>
      <c r="B377" s="138"/>
      <c r="C377" s="138"/>
      <c r="D377" s="138"/>
      <c r="E377" s="138"/>
      <c r="F377" s="138"/>
      <c r="G377" s="138"/>
      <c r="H377" s="138"/>
    </row>
    <row r="378" spans="1:8" ht="15">
      <c r="A378" s="138" t="s">
        <v>764</v>
      </c>
      <c r="B378" s="138"/>
      <c r="C378" s="138"/>
      <c r="D378" s="138"/>
      <c r="E378" s="138"/>
      <c r="F378" s="138"/>
      <c r="G378" s="138"/>
      <c r="H378" s="138"/>
    </row>
    <row r="379" spans="1:8" ht="15">
      <c r="A379" s="138" t="s">
        <v>765</v>
      </c>
      <c r="B379" s="138"/>
      <c r="C379" s="138"/>
      <c r="D379" s="138"/>
      <c r="E379" s="138"/>
      <c r="F379" s="138"/>
      <c r="G379" s="138"/>
      <c r="H379" s="138"/>
    </row>
    <row r="380" spans="1:8" ht="15">
      <c r="A380" s="138" t="s">
        <v>766</v>
      </c>
      <c r="B380" s="138" t="s">
        <v>767</v>
      </c>
      <c r="C380" s="138" t="s">
        <v>768</v>
      </c>
      <c r="D380" s="138" t="s">
        <v>769</v>
      </c>
      <c r="E380" s="138" t="s">
        <v>770</v>
      </c>
      <c r="F380" s="138" t="s">
        <v>771</v>
      </c>
      <c r="G380" s="138" t="s">
        <v>772</v>
      </c>
      <c r="H380" s="138" t="s">
        <v>773</v>
      </c>
    </row>
    <row r="381" spans="1:8" ht="15">
      <c r="A381" s="138">
        <v>1</v>
      </c>
      <c r="B381" s="138">
        <v>66.346000000000004</v>
      </c>
      <c r="C381" s="138">
        <v>14.391999999999999</v>
      </c>
      <c r="D381" s="138">
        <v>9.266</v>
      </c>
      <c r="E381" s="138">
        <v>23.658999999999999</v>
      </c>
      <c r="F381" s="138">
        <v>0.996</v>
      </c>
      <c r="G381" s="138">
        <v>100</v>
      </c>
      <c r="H381" s="138">
        <v>42.781999999999996</v>
      </c>
    </row>
    <row r="382" spans="1:8" ht="15">
      <c r="A382" s="138">
        <v>2</v>
      </c>
      <c r="B382" s="138">
        <v>56.585000000000001</v>
      </c>
      <c r="C382" s="138">
        <v>11.750999999999999</v>
      </c>
      <c r="D382" s="138">
        <v>14.677</v>
      </c>
      <c r="E382" s="138">
        <v>26.428000000000001</v>
      </c>
      <c r="F382" s="138">
        <v>0.98699999999999999</v>
      </c>
      <c r="G382" s="138">
        <v>100</v>
      </c>
      <c r="H382" s="138">
        <v>30.492000000000001</v>
      </c>
    </row>
    <row r="383" spans="1:8" ht="15">
      <c r="A383" s="138">
        <v>3</v>
      </c>
      <c r="B383" s="138">
        <v>50.936999999999998</v>
      </c>
      <c r="C383" s="138">
        <v>11.933999999999999</v>
      </c>
      <c r="D383" s="138">
        <v>24.587</v>
      </c>
      <c r="E383" s="138">
        <v>36.521999999999998</v>
      </c>
      <c r="F383" s="138">
        <v>0.93600000000000005</v>
      </c>
      <c r="G383" s="138">
        <v>100</v>
      </c>
      <c r="H383" s="138">
        <v>16.756</v>
      </c>
    </row>
    <row r="384" spans="1:8" ht="15">
      <c r="A384" s="138">
        <v>4</v>
      </c>
      <c r="B384" s="138">
        <v>36.171999999999997</v>
      </c>
      <c r="C384" s="138">
        <v>10.608000000000001</v>
      </c>
      <c r="D384" s="138">
        <v>35.18</v>
      </c>
      <c r="E384" s="138">
        <v>45.787999999999997</v>
      </c>
      <c r="F384" s="138">
        <v>0.72</v>
      </c>
      <c r="G384" s="138">
        <v>38.5</v>
      </c>
      <c r="H384" s="138">
        <v>3.19</v>
      </c>
    </row>
    <row r="385" spans="1:9" ht="15">
      <c r="A385" s="138">
        <v>5</v>
      </c>
      <c r="B385" s="138">
        <v>21.353000000000002</v>
      </c>
      <c r="C385" s="138">
        <v>10.193</v>
      </c>
      <c r="D385" s="138">
        <v>40.174999999999997</v>
      </c>
      <c r="E385" s="138">
        <v>50.368000000000002</v>
      </c>
      <c r="F385" s="138">
        <v>0.42399999999999999</v>
      </c>
      <c r="G385" s="138">
        <v>0</v>
      </c>
      <c r="H385" s="138" t="s">
        <v>774</v>
      </c>
    </row>
    <row r="386" spans="1:9" ht="15">
      <c r="A386" s="138">
        <v>6</v>
      </c>
      <c r="B386" s="138">
        <v>12.313000000000001</v>
      </c>
      <c r="C386" s="138">
        <v>9.6170000000000009</v>
      </c>
      <c r="D386" s="138">
        <v>40.058</v>
      </c>
      <c r="E386" s="138">
        <v>49.674999999999997</v>
      </c>
      <c r="F386" s="138">
        <v>0.248</v>
      </c>
      <c r="G386" s="138">
        <v>0</v>
      </c>
      <c r="H386" s="138" t="s">
        <v>774</v>
      </c>
    </row>
    <row r="387" spans="1:9" ht="15">
      <c r="A387" s="138">
        <v>7</v>
      </c>
      <c r="B387" s="138">
        <v>6.8689999999999998</v>
      </c>
      <c r="C387" s="138">
        <v>9.9369999999999994</v>
      </c>
      <c r="D387" s="138">
        <v>38.469000000000001</v>
      </c>
      <c r="E387" s="138">
        <v>48.405999999999999</v>
      </c>
      <c r="F387" s="138">
        <v>0.14199999999999999</v>
      </c>
      <c r="G387" s="138">
        <v>0</v>
      </c>
      <c r="H387" s="138" t="s">
        <v>774</v>
      </c>
    </row>
    <row r="388" spans="1:9" ht="15">
      <c r="A388" s="138">
        <v>8</v>
      </c>
      <c r="B388" s="138">
        <v>7.1769999999999996</v>
      </c>
      <c r="C388" s="138">
        <v>10.193</v>
      </c>
      <c r="D388" s="138">
        <v>38.789000000000001</v>
      </c>
      <c r="E388" s="138">
        <v>48.982999999999997</v>
      </c>
      <c r="F388" s="138">
        <v>0.14699999999999999</v>
      </c>
      <c r="G388" s="138">
        <v>0</v>
      </c>
      <c r="H388" s="138" t="s">
        <v>774</v>
      </c>
    </row>
    <row r="389" spans="1:9" ht="15">
      <c r="A389" s="138">
        <v>9</v>
      </c>
      <c r="B389" s="138">
        <v>20.067</v>
      </c>
      <c r="C389" s="138">
        <v>10.707000000000001</v>
      </c>
      <c r="D389" s="138">
        <v>27.033999999999999</v>
      </c>
      <c r="E389" s="138">
        <v>37.741</v>
      </c>
      <c r="F389" s="138">
        <v>0.53200000000000003</v>
      </c>
      <c r="G389" s="138">
        <v>0</v>
      </c>
      <c r="H389" s="138" t="s">
        <v>774</v>
      </c>
    </row>
    <row r="390" spans="1:9" ht="15">
      <c r="A390" s="138">
        <v>10</v>
      </c>
      <c r="B390" s="138">
        <v>36.761000000000003</v>
      </c>
      <c r="C390" s="138">
        <v>11.882999999999999</v>
      </c>
      <c r="D390" s="138">
        <v>21.550999999999998</v>
      </c>
      <c r="E390" s="138">
        <v>33.433999999999997</v>
      </c>
      <c r="F390" s="138">
        <v>0.86699999999999999</v>
      </c>
      <c r="G390" s="138">
        <v>80.2</v>
      </c>
      <c r="H390" s="138">
        <v>7.7670000000000003</v>
      </c>
    </row>
    <row r="391" spans="1:9" ht="15">
      <c r="A391" s="138">
        <v>11</v>
      </c>
      <c r="B391" s="138">
        <v>50.784999999999997</v>
      </c>
      <c r="C391" s="138">
        <v>12.541</v>
      </c>
      <c r="D391" s="138">
        <v>11.476000000000001</v>
      </c>
      <c r="E391" s="138">
        <v>24.016999999999999</v>
      </c>
      <c r="F391" s="138">
        <v>0.98699999999999999</v>
      </c>
      <c r="G391" s="138">
        <v>100</v>
      </c>
      <c r="H391" s="138">
        <v>27.091000000000001</v>
      </c>
    </row>
    <row r="392" spans="1:9" ht="15">
      <c r="A392" s="138">
        <v>12</v>
      </c>
      <c r="B392" s="138">
        <v>60.798999999999999</v>
      </c>
      <c r="C392" s="138">
        <v>14.29</v>
      </c>
      <c r="D392" s="138">
        <v>7.7530000000000001</v>
      </c>
      <c r="E392" s="138">
        <v>22.042999999999999</v>
      </c>
      <c r="F392" s="138">
        <v>0.996</v>
      </c>
      <c r="G392" s="138">
        <v>100</v>
      </c>
      <c r="H392" s="138">
        <v>38.850999999999999</v>
      </c>
    </row>
    <row r="393" spans="1:9" ht="15">
      <c r="A393" s="138" t="s">
        <v>775</v>
      </c>
      <c r="B393" s="138"/>
      <c r="C393" s="138"/>
      <c r="D393" s="138"/>
      <c r="E393" s="138"/>
      <c r="F393" s="138"/>
      <c r="G393" s="138"/>
      <c r="H393" s="138"/>
    </row>
    <row r="394" spans="1:9" ht="15">
      <c r="A394" s="138" t="s">
        <v>776</v>
      </c>
      <c r="B394" s="138"/>
      <c r="C394" s="138"/>
      <c r="D394" s="138"/>
      <c r="E394" s="138"/>
      <c r="F394" s="138"/>
      <c r="G394" s="138"/>
      <c r="H394" s="138"/>
    </row>
    <row r="395" spans="1:9" ht="15">
      <c r="A395" s="138" t="s">
        <v>777</v>
      </c>
      <c r="B395" s="138"/>
      <c r="C395" s="138"/>
      <c r="D395" s="138"/>
      <c r="E395" s="138"/>
      <c r="F395" s="138"/>
      <c r="G395" s="138"/>
      <c r="H395" s="138"/>
    </row>
    <row r="396" spans="1:9" ht="15">
      <c r="A396" s="138" t="s">
        <v>778</v>
      </c>
      <c r="B396" s="138"/>
      <c r="C396" s="138"/>
      <c r="D396" s="138"/>
      <c r="E396" s="138"/>
      <c r="F396" s="138"/>
      <c r="G396" s="138"/>
      <c r="H396" s="138"/>
    </row>
    <row r="397" spans="1:9" ht="15">
      <c r="A397" s="138" t="s">
        <v>766</v>
      </c>
      <c r="B397" s="138" t="s">
        <v>779</v>
      </c>
      <c r="C397" s="138" t="s">
        <v>780</v>
      </c>
      <c r="D397" s="138" t="s">
        <v>782</v>
      </c>
      <c r="E397" s="138" t="s">
        <v>783</v>
      </c>
      <c r="F397" s="138" t="s">
        <v>784</v>
      </c>
      <c r="G397" s="138" t="s">
        <v>785</v>
      </c>
      <c r="H397" s="138" t="s">
        <v>786</v>
      </c>
      <c r="I397" s="138" t="s">
        <v>787</v>
      </c>
    </row>
    <row r="398" spans="1:9" ht="15">
      <c r="A398" s="138">
        <v>1</v>
      </c>
      <c r="B398" s="138"/>
      <c r="C398" s="138"/>
      <c r="D398" s="138"/>
      <c r="E398" s="138"/>
      <c r="F398" s="138">
        <v>9.1560000000000006</v>
      </c>
      <c r="G398" s="138">
        <v>9.73</v>
      </c>
      <c r="H398" s="138">
        <v>1.2390000000000001</v>
      </c>
      <c r="I398" s="138">
        <v>75.863</v>
      </c>
    </row>
    <row r="399" spans="1:9" ht="15">
      <c r="A399" s="138">
        <v>2</v>
      </c>
      <c r="B399" s="138">
        <v>39.726999999999997</v>
      </c>
      <c r="C399" s="138" t="s">
        <v>774</v>
      </c>
      <c r="D399" s="138" t="s">
        <v>774</v>
      </c>
      <c r="E399" s="138" t="s">
        <v>774</v>
      </c>
      <c r="F399" s="138">
        <v>9.1560000000000006</v>
      </c>
      <c r="G399" s="138">
        <v>7.2270000000000003</v>
      </c>
      <c r="H399" s="138">
        <v>1.119</v>
      </c>
      <c r="I399" s="138">
        <v>57.228999999999999</v>
      </c>
    </row>
    <row r="400" spans="1:9" ht="15">
      <c r="A400" s="138">
        <v>3</v>
      </c>
      <c r="B400" s="138">
        <v>21.831</v>
      </c>
      <c r="C400" s="138" t="s">
        <v>774</v>
      </c>
      <c r="D400" s="138" t="s">
        <v>774</v>
      </c>
      <c r="E400" s="138" t="s">
        <v>774</v>
      </c>
      <c r="F400" s="138">
        <v>9.1560000000000006</v>
      </c>
      <c r="G400" s="138">
        <v>6.657</v>
      </c>
      <c r="H400" s="138">
        <v>1.2390000000000001</v>
      </c>
      <c r="I400" s="138">
        <v>38.883000000000003</v>
      </c>
    </row>
    <row r="401" spans="1:9" ht="15">
      <c r="A401" s="138">
        <v>4</v>
      </c>
      <c r="B401" s="138">
        <v>4.1559999999999997</v>
      </c>
      <c r="C401" s="138" t="s">
        <v>774</v>
      </c>
      <c r="D401" s="138" t="s">
        <v>774</v>
      </c>
      <c r="E401" s="138" t="s">
        <v>774</v>
      </c>
      <c r="F401" s="138">
        <v>9.1560000000000006</v>
      </c>
      <c r="G401" s="138">
        <v>5.2649999999999997</v>
      </c>
      <c r="H401" s="138">
        <v>0.46200000000000002</v>
      </c>
      <c r="I401" s="138">
        <v>19.038</v>
      </c>
    </row>
    <row r="402" spans="1:9" ht="15">
      <c r="A402" s="138">
        <v>5</v>
      </c>
      <c r="B402" s="138" t="s">
        <v>774</v>
      </c>
      <c r="C402" s="138" t="s">
        <v>774</v>
      </c>
      <c r="D402" s="138" t="s">
        <v>774</v>
      </c>
      <c r="E402" s="138" t="s">
        <v>774</v>
      </c>
      <c r="F402" s="138">
        <v>9.1560000000000006</v>
      </c>
      <c r="G402" s="138">
        <v>4.4809999999999999</v>
      </c>
      <c r="H402" s="138" t="s">
        <v>774</v>
      </c>
      <c r="I402" s="138">
        <v>13.635999999999999</v>
      </c>
    </row>
    <row r="403" spans="1:9" ht="15">
      <c r="A403" s="138">
        <v>6</v>
      </c>
      <c r="B403" s="138" t="s">
        <v>774</v>
      </c>
      <c r="C403" s="138" t="s">
        <v>774</v>
      </c>
      <c r="D403" s="138" t="s">
        <v>774</v>
      </c>
      <c r="E403" s="138" t="s">
        <v>774</v>
      </c>
      <c r="F403" s="138">
        <v>9.1560000000000006</v>
      </c>
      <c r="G403" s="138">
        <v>4.0270000000000001</v>
      </c>
      <c r="H403" s="138" t="s">
        <v>774</v>
      </c>
      <c r="I403" s="138">
        <v>13.182</v>
      </c>
    </row>
    <row r="404" spans="1:9" ht="15">
      <c r="A404" s="138">
        <v>7</v>
      </c>
      <c r="B404" s="138" t="s">
        <v>774</v>
      </c>
      <c r="C404" s="138" t="s">
        <v>774</v>
      </c>
      <c r="D404" s="138" t="s">
        <v>774</v>
      </c>
      <c r="E404" s="138" t="s">
        <v>774</v>
      </c>
      <c r="F404" s="138">
        <v>9.1560000000000006</v>
      </c>
      <c r="G404" s="138">
        <v>4.1609999999999996</v>
      </c>
      <c r="H404" s="138" t="s">
        <v>774</v>
      </c>
      <c r="I404" s="138">
        <v>13.316000000000001</v>
      </c>
    </row>
    <row r="405" spans="1:9" ht="15">
      <c r="A405" s="138">
        <v>8</v>
      </c>
      <c r="B405" s="138" t="s">
        <v>774</v>
      </c>
      <c r="C405" s="138" t="s">
        <v>774</v>
      </c>
      <c r="D405" s="138" t="s">
        <v>774</v>
      </c>
      <c r="E405" s="138" t="s">
        <v>774</v>
      </c>
      <c r="F405" s="138">
        <v>9.1560000000000006</v>
      </c>
      <c r="G405" s="138">
        <v>4.4809999999999999</v>
      </c>
      <c r="H405" s="138" t="s">
        <v>774</v>
      </c>
      <c r="I405" s="138">
        <v>13.635999999999999</v>
      </c>
    </row>
    <row r="406" spans="1:9" ht="15">
      <c r="A406" s="138">
        <v>9</v>
      </c>
      <c r="B406" s="138" t="s">
        <v>774</v>
      </c>
      <c r="C406" s="138" t="s">
        <v>774</v>
      </c>
      <c r="D406" s="138" t="s">
        <v>774</v>
      </c>
      <c r="E406" s="138" t="s">
        <v>774</v>
      </c>
      <c r="F406" s="138">
        <v>9.1560000000000006</v>
      </c>
      <c r="G406" s="138">
        <v>5.3890000000000002</v>
      </c>
      <c r="H406" s="138" t="s">
        <v>774</v>
      </c>
      <c r="I406" s="138">
        <v>14.545</v>
      </c>
    </row>
    <row r="407" spans="1:9" ht="15">
      <c r="A407" s="138">
        <v>10</v>
      </c>
      <c r="B407" s="138">
        <v>10.119999999999999</v>
      </c>
      <c r="C407" s="138" t="s">
        <v>774</v>
      </c>
      <c r="D407" s="138" t="s">
        <v>774</v>
      </c>
      <c r="E407" s="138" t="s">
        <v>774</v>
      </c>
      <c r="F407" s="138">
        <v>9.1560000000000006</v>
      </c>
      <c r="G407" s="138">
        <v>6.593</v>
      </c>
      <c r="H407" s="138">
        <v>0.99399999999999999</v>
      </c>
      <c r="I407" s="138">
        <v>26.861999999999998</v>
      </c>
    </row>
    <row r="408" spans="1:9" ht="15">
      <c r="A408" s="138">
        <v>11</v>
      </c>
      <c r="B408" s="138">
        <v>35.295999999999999</v>
      </c>
      <c r="C408" s="138" t="s">
        <v>774</v>
      </c>
      <c r="D408" s="138" t="s">
        <v>774</v>
      </c>
      <c r="E408" s="138" t="s">
        <v>774</v>
      </c>
      <c r="F408" s="138">
        <v>9.1560000000000006</v>
      </c>
      <c r="G408" s="138">
        <v>7.681</v>
      </c>
      <c r="H408" s="138">
        <v>1.1990000000000001</v>
      </c>
      <c r="I408" s="138">
        <v>53.331000000000003</v>
      </c>
    </row>
    <row r="409" spans="1:9" ht="15">
      <c r="A409" s="138">
        <v>12</v>
      </c>
      <c r="B409" s="138">
        <v>50.618000000000002</v>
      </c>
      <c r="C409" s="138" t="s">
        <v>774</v>
      </c>
      <c r="D409" s="138" t="s">
        <v>774</v>
      </c>
      <c r="E409" s="138" t="s">
        <v>774</v>
      </c>
      <c r="F409" s="138">
        <v>9.1560000000000006</v>
      </c>
      <c r="G409" s="138">
        <v>9.6020000000000003</v>
      </c>
      <c r="H409" s="138">
        <v>1.2390000000000001</v>
      </c>
      <c r="I409" s="138">
        <v>70.614000000000004</v>
      </c>
    </row>
    <row r="410" spans="1:9" ht="15">
      <c r="A410" s="138" t="s">
        <v>788</v>
      </c>
      <c r="B410" s="138"/>
      <c r="C410" s="138"/>
      <c r="D410" s="138"/>
      <c r="E410" s="138"/>
      <c r="F410" s="138"/>
      <c r="G410" s="138"/>
      <c r="H410" s="138"/>
      <c r="I410" s="138"/>
    </row>
    <row r="411" spans="1:9" ht="15">
      <c r="A411" s="138" t="s">
        <v>789</v>
      </c>
      <c r="B411" s="138"/>
      <c r="C411" s="138"/>
      <c r="D411" s="138"/>
      <c r="E411" s="138"/>
      <c r="F411" s="138"/>
      <c r="G411" s="138"/>
      <c r="H411" s="138"/>
      <c r="I411" s="138"/>
    </row>
    <row r="412" spans="1:9" ht="15">
      <c r="A412" s="138" t="s">
        <v>790</v>
      </c>
      <c r="B412" s="138"/>
      <c r="C412" s="138"/>
      <c r="D412" s="138"/>
      <c r="E412" s="138"/>
      <c r="F412" s="138"/>
      <c r="G412" s="138"/>
      <c r="H412" s="138"/>
      <c r="I412" s="138"/>
    </row>
    <row r="413" spans="1:9" ht="15">
      <c r="A413" s="138" t="s">
        <v>791</v>
      </c>
      <c r="B413" s="138"/>
      <c r="C413" s="138"/>
      <c r="D413" s="138"/>
      <c r="E413" s="138"/>
      <c r="F413" s="138"/>
      <c r="G413" s="138"/>
      <c r="H413" s="138"/>
      <c r="I413" s="138"/>
    </row>
    <row r="414" spans="1:9" ht="15">
      <c r="A414" s="138" t="s">
        <v>792</v>
      </c>
      <c r="B414" s="138"/>
      <c r="C414" s="138"/>
      <c r="D414" s="138"/>
      <c r="E414" s="138"/>
      <c r="F414" s="138"/>
      <c r="G414" s="138"/>
      <c r="H414" s="138"/>
      <c r="I414" s="138"/>
    </row>
    <row r="415" spans="1:9" ht="15">
      <c r="A415" s="138" t="s">
        <v>793</v>
      </c>
      <c r="B415" s="138"/>
      <c r="C415" s="138"/>
      <c r="D415" s="138"/>
      <c r="E415" s="138"/>
      <c r="F415" s="138"/>
      <c r="G415" s="138"/>
      <c r="H415" s="138"/>
      <c r="I415" s="138"/>
    </row>
    <row r="416" spans="1:9" ht="15">
      <c r="A416" s="138" t="s">
        <v>794</v>
      </c>
      <c r="B416" s="138"/>
      <c r="C416" s="138"/>
      <c r="D416" s="138"/>
      <c r="E416" s="138"/>
      <c r="F416" s="138"/>
      <c r="G416" s="138"/>
      <c r="H416" s="138"/>
      <c r="I416" s="138"/>
    </row>
    <row r="417" spans="1:9" ht="15">
      <c r="A417" s="138" t="s">
        <v>795</v>
      </c>
      <c r="B417" s="138"/>
      <c r="C417" s="138"/>
      <c r="D417" s="138"/>
      <c r="E417" s="138"/>
      <c r="F417" s="138"/>
      <c r="G417" s="138"/>
      <c r="H417" s="138"/>
      <c r="I417" s="138"/>
    </row>
    <row r="418" spans="1:9" ht="15">
      <c r="A418" s="138" t="s">
        <v>796</v>
      </c>
      <c r="B418" s="138"/>
      <c r="C418" s="138"/>
      <c r="D418" s="138"/>
      <c r="E418" s="138"/>
      <c r="F418" s="138"/>
      <c r="G418" s="138"/>
      <c r="H418" s="138"/>
      <c r="I418" s="138"/>
    </row>
    <row r="419" spans="1:9" ht="15">
      <c r="A419" s="138" t="s">
        <v>797</v>
      </c>
      <c r="B419" s="138"/>
      <c r="C419" s="138"/>
      <c r="D419" s="138"/>
      <c r="E419" s="138"/>
      <c r="F419" s="138"/>
      <c r="G419" s="138"/>
      <c r="H419" s="138"/>
      <c r="I419" s="138"/>
    </row>
    <row r="420" spans="1:9" ht="15">
      <c r="A420" s="138" t="s">
        <v>681</v>
      </c>
      <c r="B420" s="138"/>
      <c r="C420" s="138"/>
      <c r="D420" s="138"/>
      <c r="E420" s="138"/>
      <c r="F420" s="138"/>
      <c r="G420" s="138"/>
      <c r="H420" s="138"/>
      <c r="I420" s="138"/>
    </row>
    <row r="421" spans="1:9" ht="15">
      <c r="A421" s="138" t="s">
        <v>798</v>
      </c>
      <c r="B421" s="138"/>
      <c r="C421" s="138"/>
      <c r="D421" s="138"/>
      <c r="E421" s="138"/>
      <c r="F421" s="138"/>
      <c r="G421" s="138"/>
      <c r="H421" s="138"/>
      <c r="I421" s="138"/>
    </row>
    <row r="422" spans="1:9" ht="15">
      <c r="A422" s="138" t="s">
        <v>799</v>
      </c>
      <c r="B422" s="138"/>
      <c r="C422" s="138"/>
      <c r="D422" s="138"/>
      <c r="E422" s="138"/>
      <c r="F422" s="138"/>
      <c r="G422" s="138"/>
      <c r="H422" s="138"/>
      <c r="I422" s="138"/>
    </row>
    <row r="423" spans="1:9" ht="15">
      <c r="A423" s="138" t="s">
        <v>757</v>
      </c>
      <c r="B423" s="138"/>
    </row>
    <row r="424" spans="1:9" ht="15">
      <c r="A424" s="138" t="s">
        <v>800</v>
      </c>
      <c r="B424" s="138"/>
    </row>
    <row r="425" spans="1:9" ht="15">
      <c r="A425" s="138" t="s">
        <v>801</v>
      </c>
      <c r="B425" s="138"/>
    </row>
    <row r="426" spans="1:9" ht="15">
      <c r="A426" s="138" t="s">
        <v>760</v>
      </c>
      <c r="B426" s="138"/>
    </row>
    <row r="427" spans="1:9" ht="15">
      <c r="A427" s="138" t="s">
        <v>761</v>
      </c>
      <c r="B427" s="138"/>
    </row>
    <row r="428" spans="1:9" ht="15">
      <c r="A428" s="138" t="s">
        <v>762</v>
      </c>
      <c r="B428" s="138"/>
    </row>
    <row r="429" spans="1:9" ht="15">
      <c r="A429" s="138" t="s">
        <v>802</v>
      </c>
      <c r="B429" s="138"/>
    </row>
    <row r="430" spans="1:9" ht="15">
      <c r="A430" s="138" t="s">
        <v>803</v>
      </c>
      <c r="B430" s="138"/>
    </row>
    <row r="431" spans="1:9" ht="15">
      <c r="A431" s="138" t="s">
        <v>765</v>
      </c>
      <c r="B431" s="138"/>
    </row>
    <row r="432" spans="1:9" ht="15">
      <c r="A432" s="138" t="s">
        <v>766</v>
      </c>
      <c r="B432" s="138" t="s">
        <v>767</v>
      </c>
      <c r="C432" s="138" t="s">
        <v>768</v>
      </c>
      <c r="D432" s="138" t="s">
        <v>769</v>
      </c>
      <c r="E432" s="138" t="s">
        <v>770</v>
      </c>
      <c r="F432" s="138" t="s">
        <v>771</v>
      </c>
      <c r="G432" s="138" t="s">
        <v>772</v>
      </c>
      <c r="H432" s="138" t="s">
        <v>773</v>
      </c>
    </row>
    <row r="433" spans="1:9" ht="15">
      <c r="A433" s="138">
        <v>1</v>
      </c>
      <c r="B433" s="138">
        <v>5.8280000000000003</v>
      </c>
      <c r="C433" s="138">
        <v>1.117</v>
      </c>
      <c r="D433" s="138">
        <v>0.88</v>
      </c>
      <c r="E433" s="138">
        <v>1.998</v>
      </c>
      <c r="F433" s="138">
        <v>0.999</v>
      </c>
      <c r="G433" s="138">
        <v>100</v>
      </c>
      <c r="H433" s="138">
        <v>3.8330000000000002</v>
      </c>
    </row>
    <row r="434" spans="1:9" ht="15">
      <c r="A434" s="138">
        <v>2</v>
      </c>
      <c r="B434" s="138">
        <v>4.91</v>
      </c>
      <c r="C434" s="138">
        <v>0.88200000000000001</v>
      </c>
      <c r="D434" s="138">
        <v>1.4810000000000001</v>
      </c>
      <c r="E434" s="138">
        <v>2.363</v>
      </c>
      <c r="F434" s="138">
        <v>0.99299999999999999</v>
      </c>
      <c r="G434" s="138">
        <v>100</v>
      </c>
      <c r="H434" s="138">
        <v>2.5640000000000001</v>
      </c>
    </row>
    <row r="435" spans="1:9" ht="15">
      <c r="A435" s="138">
        <v>3</v>
      </c>
      <c r="B435" s="138">
        <v>4.1950000000000003</v>
      </c>
      <c r="C435" s="138">
        <v>0.86699999999999999</v>
      </c>
      <c r="D435" s="138">
        <v>2.7160000000000002</v>
      </c>
      <c r="E435" s="138">
        <v>3.5830000000000002</v>
      </c>
      <c r="F435" s="138">
        <v>0.91200000000000003</v>
      </c>
      <c r="G435" s="138">
        <v>80.900000000000006</v>
      </c>
      <c r="H435" s="138">
        <v>0.92600000000000005</v>
      </c>
    </row>
    <row r="436" spans="1:9" ht="15">
      <c r="A436" s="138">
        <v>4</v>
      </c>
      <c r="B436" s="138">
        <v>2.669</v>
      </c>
      <c r="C436" s="138">
        <v>0.74299999999999999</v>
      </c>
      <c r="D436" s="138">
        <v>4.2510000000000003</v>
      </c>
      <c r="E436" s="138">
        <v>4.9939999999999998</v>
      </c>
      <c r="F436" s="138">
        <v>0.53400000000000003</v>
      </c>
      <c r="G436" s="138">
        <v>0</v>
      </c>
      <c r="H436" s="138" t="s">
        <v>774</v>
      </c>
    </row>
    <row r="437" spans="1:9" ht="15">
      <c r="A437" s="138">
        <v>5</v>
      </c>
      <c r="B437" s="138">
        <v>1.06</v>
      </c>
      <c r="C437" s="138">
        <v>0.69</v>
      </c>
      <c r="D437" s="138">
        <v>5.2290000000000001</v>
      </c>
      <c r="E437" s="138">
        <v>5.9189999999999996</v>
      </c>
      <c r="F437" s="138">
        <v>0.17899999999999999</v>
      </c>
      <c r="G437" s="138">
        <v>0</v>
      </c>
      <c r="H437" s="138" t="s">
        <v>774</v>
      </c>
    </row>
    <row r="438" spans="1:9" ht="15">
      <c r="A438" s="138">
        <v>6</v>
      </c>
      <c r="B438" s="138" t="s">
        <v>774</v>
      </c>
      <c r="C438" s="138" t="s">
        <v>774</v>
      </c>
      <c r="D438" s="138" t="s">
        <v>774</v>
      </c>
      <c r="E438" s="138" t="s">
        <v>774</v>
      </c>
      <c r="F438" s="138" t="s">
        <v>774</v>
      </c>
      <c r="G438" s="138">
        <v>0</v>
      </c>
      <c r="H438" s="138" t="s">
        <v>774</v>
      </c>
    </row>
    <row r="439" spans="1:9" ht="15">
      <c r="A439" s="138">
        <v>7</v>
      </c>
      <c r="B439" s="138" t="s">
        <v>774</v>
      </c>
      <c r="C439" s="138" t="s">
        <v>774</v>
      </c>
      <c r="D439" s="138" t="s">
        <v>774</v>
      </c>
      <c r="E439" s="138" t="s">
        <v>774</v>
      </c>
      <c r="F439" s="138" t="s">
        <v>774</v>
      </c>
      <c r="G439" s="138">
        <v>0</v>
      </c>
      <c r="H439" s="138" t="s">
        <v>774</v>
      </c>
    </row>
    <row r="440" spans="1:9" ht="15">
      <c r="A440" s="138">
        <v>8</v>
      </c>
      <c r="B440" s="138" t="s">
        <v>774</v>
      </c>
      <c r="C440" s="138" t="s">
        <v>774</v>
      </c>
      <c r="D440" s="138" t="s">
        <v>774</v>
      </c>
      <c r="E440" s="138" t="s">
        <v>774</v>
      </c>
      <c r="F440" s="138" t="s">
        <v>774</v>
      </c>
      <c r="G440" s="138">
        <v>0</v>
      </c>
      <c r="H440" s="138" t="s">
        <v>774</v>
      </c>
    </row>
    <row r="441" spans="1:9" ht="15">
      <c r="A441" s="138">
        <v>9</v>
      </c>
      <c r="B441" s="138">
        <v>0.96299999999999997</v>
      </c>
      <c r="C441" s="138">
        <v>0.754</v>
      </c>
      <c r="D441" s="138">
        <v>3.1059999999999999</v>
      </c>
      <c r="E441" s="138">
        <v>3.859</v>
      </c>
      <c r="F441" s="138">
        <v>0.249</v>
      </c>
      <c r="G441" s="138">
        <v>0</v>
      </c>
      <c r="H441" s="138" t="s">
        <v>774</v>
      </c>
    </row>
    <row r="442" spans="1:9" ht="15">
      <c r="A442" s="138">
        <v>10</v>
      </c>
      <c r="B442" s="138">
        <v>2.6930000000000001</v>
      </c>
      <c r="C442" s="138">
        <v>0.86199999999999999</v>
      </c>
      <c r="D442" s="138">
        <v>2.1680000000000001</v>
      </c>
      <c r="E442" s="138">
        <v>3.03</v>
      </c>
      <c r="F442" s="138">
        <v>0.79700000000000004</v>
      </c>
      <c r="G442" s="138">
        <v>51.5</v>
      </c>
      <c r="H442" s="138">
        <v>0.27700000000000002</v>
      </c>
    </row>
    <row r="443" spans="1:9" ht="15">
      <c r="A443" s="138">
        <v>11</v>
      </c>
      <c r="B443" s="138">
        <v>4.218</v>
      </c>
      <c r="C443" s="138">
        <v>0.94</v>
      </c>
      <c r="D443" s="138">
        <v>1.0549999999999999</v>
      </c>
      <c r="E443" s="138">
        <v>1.9950000000000001</v>
      </c>
      <c r="F443" s="138">
        <v>0.99299999999999999</v>
      </c>
      <c r="G443" s="138">
        <v>100</v>
      </c>
      <c r="H443" s="138">
        <v>2.2360000000000002</v>
      </c>
    </row>
    <row r="444" spans="1:9" ht="15">
      <c r="A444" s="138">
        <v>12</v>
      </c>
      <c r="B444" s="138">
        <v>5.24</v>
      </c>
      <c r="C444" s="138">
        <v>1.107</v>
      </c>
      <c r="D444" s="138">
        <v>0.69599999999999995</v>
      </c>
      <c r="E444" s="138">
        <v>1.8029999999999999</v>
      </c>
      <c r="F444" s="138">
        <v>0.999</v>
      </c>
      <c r="G444" s="138">
        <v>100</v>
      </c>
      <c r="H444" s="138">
        <v>3.4390000000000001</v>
      </c>
    </row>
    <row r="445" spans="1:9" ht="15">
      <c r="A445" s="138" t="s">
        <v>775</v>
      </c>
      <c r="B445" s="138"/>
      <c r="C445" s="138"/>
      <c r="D445" s="138"/>
      <c r="E445" s="138"/>
      <c r="F445" s="138"/>
      <c r="G445" s="138"/>
      <c r="H445" s="138"/>
    </row>
    <row r="446" spans="1:9" ht="15">
      <c r="A446" s="138" t="s">
        <v>776</v>
      </c>
      <c r="B446" s="138"/>
      <c r="C446" s="138"/>
      <c r="D446" s="138"/>
      <c r="E446" s="138"/>
      <c r="F446" s="138"/>
      <c r="G446" s="138"/>
      <c r="H446" s="138"/>
    </row>
    <row r="447" spans="1:9" ht="15">
      <c r="A447" s="138" t="s">
        <v>804</v>
      </c>
      <c r="B447" s="138"/>
      <c r="C447" s="138"/>
      <c r="D447" s="138"/>
      <c r="E447" s="138"/>
      <c r="F447" s="138"/>
      <c r="G447" s="138"/>
      <c r="H447" s="138"/>
    </row>
    <row r="448" spans="1:9" ht="15">
      <c r="A448" s="138" t="s">
        <v>778</v>
      </c>
      <c r="B448" s="138"/>
      <c r="C448" s="138"/>
      <c r="D448" s="138"/>
      <c r="E448" s="138"/>
      <c r="F448" s="138"/>
      <c r="G448" s="138"/>
      <c r="H448" s="138"/>
      <c r="I448" s="138"/>
    </row>
    <row r="449" spans="1:9" ht="15">
      <c r="A449" s="138" t="s">
        <v>766</v>
      </c>
      <c r="B449" s="138" t="s">
        <v>779</v>
      </c>
      <c r="C449" s="138" t="s">
        <v>780</v>
      </c>
      <c r="D449" s="138" t="s">
        <v>782</v>
      </c>
      <c r="E449" s="138" t="s">
        <v>783</v>
      </c>
      <c r="F449" s="138" t="s">
        <v>784</v>
      </c>
      <c r="G449" s="138" t="s">
        <v>785</v>
      </c>
      <c r="H449" s="138" t="s">
        <v>786</v>
      </c>
      <c r="I449" s="138" t="s">
        <v>787</v>
      </c>
    </row>
    <row r="450" spans="1:9" ht="15">
      <c r="A450" s="138">
        <v>1</v>
      </c>
      <c r="B450" s="138">
        <v>4.9939999999999998</v>
      </c>
      <c r="C450" s="138"/>
      <c r="D450" s="138"/>
      <c r="E450" s="138"/>
      <c r="F450" s="138"/>
      <c r="G450" s="138">
        <v>0.98899999999999999</v>
      </c>
      <c r="H450" s="138">
        <v>0.15</v>
      </c>
      <c r="I450" s="138">
        <v>6.1319999999999997</v>
      </c>
    </row>
    <row r="451" spans="1:9" ht="15">
      <c r="A451" s="138">
        <v>2</v>
      </c>
      <c r="B451" s="138">
        <v>3.34</v>
      </c>
      <c r="C451" s="138" t="s">
        <v>774</v>
      </c>
      <c r="D451" s="138" t="s">
        <v>774</v>
      </c>
      <c r="E451" s="138" t="s">
        <v>774</v>
      </c>
      <c r="F451" s="138" t="s">
        <v>774</v>
      </c>
      <c r="G451" s="138">
        <v>0.73499999999999999</v>
      </c>
      <c r="H451" s="138">
        <v>0.13500000000000001</v>
      </c>
      <c r="I451" s="138">
        <v>4.21</v>
      </c>
    </row>
    <row r="452" spans="1:9" ht="15">
      <c r="A452" s="138">
        <v>3</v>
      </c>
      <c r="B452" s="138">
        <v>1.206</v>
      </c>
      <c r="C452" s="138" t="s">
        <v>774</v>
      </c>
      <c r="D452" s="138" t="s">
        <v>774</v>
      </c>
      <c r="E452" s="138" t="s">
        <v>774</v>
      </c>
      <c r="F452" s="138" t="s">
        <v>774</v>
      </c>
      <c r="G452" s="138">
        <v>0.67700000000000005</v>
      </c>
      <c r="H452" s="138">
        <v>0.121</v>
      </c>
      <c r="I452" s="138">
        <v>2.004</v>
      </c>
    </row>
    <row r="453" spans="1:9" ht="15">
      <c r="A453" s="138">
        <v>4</v>
      </c>
      <c r="B453" s="138" t="s">
        <v>774</v>
      </c>
      <c r="C453" s="138" t="s">
        <v>774</v>
      </c>
      <c r="D453" s="138" t="s">
        <v>774</v>
      </c>
      <c r="E453" s="138" t="s">
        <v>774</v>
      </c>
      <c r="F453" s="138" t="s">
        <v>774</v>
      </c>
      <c r="G453" s="138">
        <v>0.53500000000000003</v>
      </c>
      <c r="H453" s="138" t="s">
        <v>774</v>
      </c>
      <c r="I453" s="138">
        <v>0.53500000000000003</v>
      </c>
    </row>
    <row r="454" spans="1:9" ht="15">
      <c r="A454" s="138">
        <v>5</v>
      </c>
      <c r="B454" s="138" t="s">
        <v>774</v>
      </c>
      <c r="C454" s="138" t="s">
        <v>774</v>
      </c>
      <c r="D454" s="138" t="s">
        <v>774</v>
      </c>
      <c r="E454" s="138" t="s">
        <v>774</v>
      </c>
      <c r="F454" s="138" t="s">
        <v>774</v>
      </c>
      <c r="G454" s="138">
        <v>0.45600000000000002</v>
      </c>
      <c r="H454" s="138" t="s">
        <v>774</v>
      </c>
      <c r="I454" s="138">
        <v>0.45600000000000002</v>
      </c>
    </row>
    <row r="455" spans="1:9" ht="15">
      <c r="A455" s="138">
        <v>6</v>
      </c>
      <c r="B455" s="138" t="s">
        <v>774</v>
      </c>
      <c r="C455" s="138" t="s">
        <v>774</v>
      </c>
      <c r="D455" s="138" t="s">
        <v>774</v>
      </c>
      <c r="E455" s="138" t="s">
        <v>774</v>
      </c>
      <c r="F455" s="138" t="s">
        <v>774</v>
      </c>
      <c r="G455" s="138">
        <v>0.40899999999999997</v>
      </c>
      <c r="H455" s="138" t="s">
        <v>774</v>
      </c>
      <c r="I455" s="138">
        <v>0.40899999999999997</v>
      </c>
    </row>
    <row r="456" spans="1:9" ht="15">
      <c r="A456" s="138">
        <v>7</v>
      </c>
      <c r="B456" s="138" t="s">
        <v>774</v>
      </c>
      <c r="C456" s="138" t="s">
        <v>774</v>
      </c>
      <c r="D456" s="138" t="s">
        <v>774</v>
      </c>
      <c r="E456" s="138" t="s">
        <v>774</v>
      </c>
      <c r="F456" s="138" t="s">
        <v>774</v>
      </c>
      <c r="G456" s="138">
        <v>0.42299999999999999</v>
      </c>
      <c r="H456" s="138" t="s">
        <v>774</v>
      </c>
      <c r="I456" s="138">
        <v>0.42299999999999999</v>
      </c>
    </row>
    <row r="457" spans="1:9" ht="15">
      <c r="A457" s="138">
        <v>8</v>
      </c>
      <c r="B457" s="138" t="s">
        <v>774</v>
      </c>
      <c r="C457" s="138" t="s">
        <v>774</v>
      </c>
      <c r="D457" s="138" t="s">
        <v>774</v>
      </c>
      <c r="E457" s="138" t="s">
        <v>774</v>
      </c>
      <c r="F457" s="138" t="s">
        <v>774</v>
      </c>
      <c r="G457" s="138">
        <v>0.45600000000000002</v>
      </c>
      <c r="H457" s="138" t="s">
        <v>774</v>
      </c>
      <c r="I457" s="138">
        <v>0.45600000000000002</v>
      </c>
    </row>
    <row r="458" spans="1:9" ht="15">
      <c r="A458" s="138">
        <v>9</v>
      </c>
      <c r="B458" s="138" t="s">
        <v>774</v>
      </c>
      <c r="C458" s="138" t="s">
        <v>774</v>
      </c>
      <c r="D458" s="138" t="s">
        <v>774</v>
      </c>
      <c r="E458" s="138" t="s">
        <v>774</v>
      </c>
      <c r="F458" s="138" t="s">
        <v>774</v>
      </c>
      <c r="G458" s="138">
        <v>0.54800000000000004</v>
      </c>
      <c r="H458" s="138" t="s">
        <v>774</v>
      </c>
      <c r="I458" s="138">
        <v>0.54800000000000004</v>
      </c>
    </row>
    <row r="459" spans="1:9" ht="15">
      <c r="A459" s="138">
        <v>10</v>
      </c>
      <c r="B459" s="138">
        <v>0.36099999999999999</v>
      </c>
      <c r="C459" s="138" t="s">
        <v>774</v>
      </c>
      <c r="D459" s="138" t="s">
        <v>774</v>
      </c>
      <c r="E459" s="138" t="s">
        <v>774</v>
      </c>
      <c r="F459" s="138" t="s">
        <v>774</v>
      </c>
      <c r="G459" s="138">
        <v>0.67</v>
      </c>
      <c r="H459" s="138">
        <v>7.6999999999999999E-2</v>
      </c>
      <c r="I459" s="138">
        <v>1.109</v>
      </c>
    </row>
    <row r="460" spans="1:9" ht="15">
      <c r="A460" s="138">
        <v>11</v>
      </c>
      <c r="B460" s="138">
        <v>2.9140000000000001</v>
      </c>
      <c r="C460" s="138" t="s">
        <v>774</v>
      </c>
      <c r="D460" s="138" t="s">
        <v>774</v>
      </c>
      <c r="E460" s="138" t="s">
        <v>774</v>
      </c>
      <c r="F460" s="138" t="s">
        <v>774</v>
      </c>
      <c r="G460" s="138">
        <v>0.78100000000000003</v>
      </c>
      <c r="H460" s="138">
        <v>0.14499999999999999</v>
      </c>
      <c r="I460" s="138">
        <v>3.839</v>
      </c>
    </row>
    <row r="461" spans="1:9" ht="15">
      <c r="A461" s="138">
        <v>12</v>
      </c>
      <c r="B461" s="138">
        <v>4.4809999999999999</v>
      </c>
      <c r="C461" s="138" t="s">
        <v>774</v>
      </c>
      <c r="D461" s="138" t="s">
        <v>774</v>
      </c>
      <c r="E461" s="138" t="s">
        <v>774</v>
      </c>
      <c r="F461" s="138" t="s">
        <v>774</v>
      </c>
      <c r="G461" s="138">
        <v>0.97599999999999998</v>
      </c>
      <c r="H461" s="138">
        <v>0.15</v>
      </c>
      <c r="I461" s="138">
        <v>5.6070000000000002</v>
      </c>
    </row>
    <row r="462" spans="1:9" ht="15">
      <c r="A462" s="138" t="s">
        <v>788</v>
      </c>
      <c r="B462" s="138"/>
      <c r="C462" s="138"/>
      <c r="D462" s="138"/>
      <c r="E462" s="138"/>
      <c r="F462" s="138"/>
      <c r="G462" s="138"/>
      <c r="H462" s="138"/>
      <c r="I462" s="138"/>
    </row>
    <row r="463" spans="1:9" ht="15">
      <c r="A463" s="138" t="s">
        <v>789</v>
      </c>
      <c r="B463" s="138"/>
      <c r="C463" s="138"/>
      <c r="D463" s="138"/>
      <c r="E463" s="138"/>
      <c r="F463" s="138"/>
      <c r="G463" s="138"/>
      <c r="H463" s="138"/>
      <c r="I463" s="138"/>
    </row>
    <row r="464" spans="1:9" ht="15">
      <c r="A464" s="138" t="s">
        <v>805</v>
      </c>
      <c r="B464" s="138"/>
      <c r="C464" s="138"/>
      <c r="D464" s="138"/>
      <c r="E464" s="138"/>
      <c r="F464" s="138"/>
      <c r="G464" s="138"/>
      <c r="H464" s="138"/>
      <c r="I464" s="138"/>
    </row>
    <row r="465" spans="1:9" ht="15">
      <c r="A465" s="138" t="s">
        <v>791</v>
      </c>
      <c r="B465" s="138"/>
      <c r="C465" s="138"/>
      <c r="D465" s="138"/>
      <c r="E465" s="138"/>
      <c r="F465" s="138"/>
      <c r="G465" s="138"/>
      <c r="H465" s="138"/>
      <c r="I465" s="138"/>
    </row>
    <row r="466" spans="1:9" ht="15">
      <c r="A466" s="138" t="s">
        <v>806</v>
      </c>
      <c r="B466" s="138"/>
      <c r="C466" s="138"/>
      <c r="D466" s="138"/>
      <c r="E466" s="138"/>
      <c r="F466" s="138"/>
      <c r="G466" s="138"/>
      <c r="H466" s="138"/>
      <c r="I466" s="138"/>
    </row>
    <row r="467" spans="1:9" ht="15">
      <c r="A467" s="138" t="s">
        <v>807</v>
      </c>
      <c r="B467" s="138"/>
      <c r="C467" s="138"/>
      <c r="D467" s="138"/>
      <c r="E467" s="138"/>
      <c r="F467" s="138"/>
      <c r="G467" s="138"/>
      <c r="H467" s="138"/>
      <c r="I467" s="138"/>
    </row>
    <row r="468" spans="1:9" ht="15">
      <c r="A468" s="138" t="s">
        <v>794</v>
      </c>
      <c r="B468" s="138"/>
      <c r="C468" s="138"/>
      <c r="D468" s="138"/>
      <c r="E468" s="138"/>
      <c r="F468" s="138"/>
      <c r="G468" s="138"/>
      <c r="H468" s="138"/>
      <c r="I468" s="138"/>
    </row>
    <row r="469" spans="1:9" ht="15">
      <c r="A469" s="138" t="s">
        <v>808</v>
      </c>
      <c r="B469" s="138"/>
      <c r="C469" s="138"/>
      <c r="D469" s="138"/>
      <c r="E469" s="138"/>
      <c r="F469" s="138"/>
      <c r="G469" s="138"/>
      <c r="H469" s="138"/>
      <c r="I469" s="138"/>
    </row>
    <row r="470" spans="1:9" ht="15">
      <c r="A470" s="138" t="s">
        <v>809</v>
      </c>
      <c r="B470" s="138"/>
      <c r="C470" s="138"/>
      <c r="D470" s="138"/>
      <c r="E470" s="138"/>
      <c r="F470" s="138"/>
      <c r="G470" s="138"/>
      <c r="H470" s="138"/>
      <c r="I470" s="138"/>
    </row>
    <row r="471" spans="1:9" ht="15">
      <c r="A471" s="138" t="s">
        <v>810</v>
      </c>
      <c r="B471" s="138"/>
      <c r="C471" s="138"/>
      <c r="D471" s="138"/>
      <c r="E471" s="138"/>
      <c r="F471" s="138"/>
      <c r="G471" s="138"/>
      <c r="H471" s="138"/>
      <c r="I471" s="138"/>
    </row>
    <row r="472" spans="1:9" ht="15">
      <c r="A472" s="138" t="s">
        <v>811</v>
      </c>
      <c r="B472" s="138"/>
      <c r="C472" s="138"/>
      <c r="D472" s="138"/>
      <c r="E472" s="138"/>
      <c r="F472" s="138"/>
      <c r="G472" s="138"/>
      <c r="H472" s="138"/>
      <c r="I472" s="138"/>
    </row>
    <row r="473" spans="1:9" ht="15">
      <c r="A473" s="138" t="s">
        <v>812</v>
      </c>
      <c r="B473" s="138"/>
      <c r="C473" s="138"/>
      <c r="D473" s="138"/>
      <c r="E473" s="138"/>
      <c r="F473" s="138"/>
      <c r="G473" s="138"/>
      <c r="H473" s="138"/>
      <c r="I473" s="138"/>
    </row>
    <row r="474" spans="1:9" ht="15">
      <c r="A474" s="138" t="s">
        <v>766</v>
      </c>
      <c r="B474" s="138" t="s">
        <v>779</v>
      </c>
      <c r="C474" s="138" t="s">
        <v>780</v>
      </c>
      <c r="D474" s="138" t="s">
        <v>782</v>
      </c>
      <c r="E474" s="138" t="s">
        <v>783</v>
      </c>
      <c r="F474" s="138" t="s">
        <v>784</v>
      </c>
      <c r="G474" s="138" t="s">
        <v>785</v>
      </c>
      <c r="H474" s="138" t="s">
        <v>786</v>
      </c>
      <c r="I474" s="138" t="s">
        <v>787</v>
      </c>
    </row>
    <row r="475" spans="1:9" ht="15">
      <c r="A475" s="138">
        <v>1</v>
      </c>
      <c r="B475" s="138"/>
      <c r="C475" s="138"/>
      <c r="D475" s="138"/>
      <c r="E475" s="138"/>
      <c r="F475" s="138"/>
      <c r="G475" s="138">
        <v>7.3999999999999996E-2</v>
      </c>
      <c r="H475" s="138"/>
      <c r="I475" s="138">
        <v>7.3999999999999996E-2</v>
      </c>
    </row>
    <row r="476" spans="1:9" ht="15">
      <c r="A476" s="138">
        <v>2</v>
      </c>
      <c r="B476" s="138" t="s">
        <v>774</v>
      </c>
      <c r="C476" s="138" t="s">
        <v>774</v>
      </c>
      <c r="D476" s="138" t="s">
        <v>774</v>
      </c>
      <c r="E476" s="138" t="s">
        <v>774</v>
      </c>
      <c r="F476" s="138" t="s">
        <v>774</v>
      </c>
      <c r="G476" s="138">
        <v>6.6000000000000003E-2</v>
      </c>
      <c r="H476" s="138" t="s">
        <v>774</v>
      </c>
      <c r="I476" s="138">
        <v>6.6000000000000003E-2</v>
      </c>
    </row>
    <row r="477" spans="1:9" ht="15">
      <c r="A477" s="138">
        <v>3</v>
      </c>
      <c r="B477" s="138" t="s">
        <v>774</v>
      </c>
      <c r="C477" s="138" t="s">
        <v>774</v>
      </c>
      <c r="D477" s="138" t="s">
        <v>774</v>
      </c>
      <c r="E477" s="138" t="s">
        <v>774</v>
      </c>
      <c r="F477" s="138" t="s">
        <v>774</v>
      </c>
      <c r="G477" s="138">
        <v>7.3999999999999996E-2</v>
      </c>
      <c r="H477" s="138" t="s">
        <v>774</v>
      </c>
      <c r="I477" s="138">
        <v>7.3999999999999996E-2</v>
      </c>
    </row>
    <row r="478" spans="1:9" ht="15">
      <c r="A478" s="138">
        <v>4</v>
      </c>
      <c r="B478" s="138" t="s">
        <v>774</v>
      </c>
      <c r="C478" s="138" t="s">
        <v>774</v>
      </c>
      <c r="D478" s="138" t="s">
        <v>774</v>
      </c>
      <c r="E478" s="138" t="s">
        <v>774</v>
      </c>
      <c r="F478" s="138" t="s">
        <v>774</v>
      </c>
      <c r="G478" s="138">
        <v>7.0999999999999994E-2</v>
      </c>
      <c r="H478" s="138" t="s">
        <v>774</v>
      </c>
      <c r="I478" s="138">
        <v>7.0999999999999994E-2</v>
      </c>
    </row>
    <row r="479" spans="1:9" ht="15">
      <c r="A479" s="138">
        <v>5</v>
      </c>
      <c r="B479" s="138" t="s">
        <v>774</v>
      </c>
      <c r="C479" s="138" t="s">
        <v>774</v>
      </c>
      <c r="D479" s="138" t="s">
        <v>774</v>
      </c>
      <c r="E479" s="138" t="s">
        <v>774</v>
      </c>
      <c r="F479" s="138" t="s">
        <v>774</v>
      </c>
      <c r="G479" s="138">
        <v>7.3999999999999996E-2</v>
      </c>
      <c r="H479" s="138" t="s">
        <v>774</v>
      </c>
      <c r="I479" s="138">
        <v>7.3999999999999996E-2</v>
      </c>
    </row>
    <row r="480" spans="1:9" ht="15">
      <c r="A480" s="138">
        <v>6</v>
      </c>
      <c r="B480" s="138" t="s">
        <v>774</v>
      </c>
      <c r="C480" s="138" t="s">
        <v>774</v>
      </c>
      <c r="D480" s="138" t="s">
        <v>774</v>
      </c>
      <c r="E480" s="138" t="s">
        <v>774</v>
      </c>
      <c r="F480" s="138" t="s">
        <v>774</v>
      </c>
      <c r="G480" s="138">
        <v>7.0999999999999994E-2</v>
      </c>
      <c r="H480" s="138" t="s">
        <v>774</v>
      </c>
      <c r="I480" s="138">
        <v>7.0999999999999994E-2</v>
      </c>
    </row>
    <row r="481" spans="1:9" ht="15">
      <c r="A481" s="138">
        <v>7</v>
      </c>
      <c r="B481" s="138" t="s">
        <v>774</v>
      </c>
      <c r="C481" s="138" t="s">
        <v>774</v>
      </c>
      <c r="D481" s="138" t="s">
        <v>774</v>
      </c>
      <c r="E481" s="138" t="s">
        <v>774</v>
      </c>
      <c r="F481" s="138" t="s">
        <v>774</v>
      </c>
      <c r="G481" s="138">
        <v>7.3999999999999996E-2</v>
      </c>
      <c r="H481" s="138" t="s">
        <v>774</v>
      </c>
      <c r="I481" s="138">
        <v>7.3999999999999996E-2</v>
      </c>
    </row>
    <row r="482" spans="1:9" ht="15">
      <c r="A482" s="138">
        <v>8</v>
      </c>
      <c r="B482" s="138" t="s">
        <v>774</v>
      </c>
      <c r="C482" s="138" t="s">
        <v>774</v>
      </c>
      <c r="D482" s="138" t="s">
        <v>774</v>
      </c>
      <c r="E482" s="138" t="s">
        <v>774</v>
      </c>
      <c r="F482" s="138" t="s">
        <v>774</v>
      </c>
      <c r="G482" s="138">
        <v>7.3999999999999996E-2</v>
      </c>
      <c r="H482" s="138" t="s">
        <v>774</v>
      </c>
      <c r="I482" s="138">
        <v>7.3999999999999996E-2</v>
      </c>
    </row>
    <row r="483" spans="1:9" ht="15">
      <c r="A483" s="138">
        <v>9</v>
      </c>
      <c r="B483" s="138" t="s">
        <v>774</v>
      </c>
      <c r="C483" s="138" t="s">
        <v>774</v>
      </c>
      <c r="D483" s="138" t="s">
        <v>774</v>
      </c>
      <c r="E483" s="138" t="s">
        <v>774</v>
      </c>
      <c r="F483" s="138" t="s">
        <v>774</v>
      </c>
      <c r="G483" s="138">
        <v>7.0999999999999994E-2</v>
      </c>
      <c r="H483" s="138" t="s">
        <v>774</v>
      </c>
      <c r="I483" s="138">
        <v>7.0999999999999994E-2</v>
      </c>
    </row>
    <row r="484" spans="1:9" ht="15">
      <c r="A484" s="138">
        <v>10</v>
      </c>
      <c r="B484" s="138" t="s">
        <v>774</v>
      </c>
      <c r="C484" s="138" t="s">
        <v>774</v>
      </c>
      <c r="D484" s="138" t="s">
        <v>774</v>
      </c>
      <c r="E484" s="138" t="s">
        <v>774</v>
      </c>
      <c r="F484" s="138" t="s">
        <v>774</v>
      </c>
      <c r="G484" s="138">
        <v>7.3999999999999996E-2</v>
      </c>
      <c r="H484" s="138" t="s">
        <v>774</v>
      </c>
      <c r="I484" s="138">
        <v>7.3999999999999996E-2</v>
      </c>
    </row>
    <row r="485" spans="1:9" ht="15">
      <c r="A485" s="138">
        <v>11</v>
      </c>
      <c r="B485" s="138" t="s">
        <v>774</v>
      </c>
      <c r="C485" s="138" t="s">
        <v>774</v>
      </c>
      <c r="D485" s="138" t="s">
        <v>774</v>
      </c>
      <c r="E485" s="138" t="s">
        <v>774</v>
      </c>
      <c r="F485" s="138" t="s">
        <v>774</v>
      </c>
      <c r="G485" s="138">
        <v>7.0999999999999994E-2</v>
      </c>
      <c r="H485" s="138" t="s">
        <v>774</v>
      </c>
      <c r="I485" s="138">
        <v>7.0999999999999994E-2</v>
      </c>
    </row>
    <row r="486" spans="1:9" ht="15">
      <c r="A486" s="138">
        <v>12</v>
      </c>
      <c r="B486" s="138" t="s">
        <v>774</v>
      </c>
      <c r="C486" s="138" t="s">
        <v>774</v>
      </c>
      <c r="D486" s="138" t="s">
        <v>774</v>
      </c>
      <c r="E486" s="138" t="s">
        <v>774</v>
      </c>
      <c r="F486" s="138" t="s">
        <v>774</v>
      </c>
      <c r="G486" s="138">
        <v>7.3999999999999996E-2</v>
      </c>
      <c r="H486" s="138" t="s">
        <v>774</v>
      </c>
      <c r="I486" s="138">
        <v>7.3999999999999996E-2</v>
      </c>
    </row>
    <row r="487" spans="1:9" ht="15">
      <c r="A487" s="138" t="s">
        <v>788</v>
      </c>
      <c r="B487" s="138"/>
      <c r="C487" s="138"/>
      <c r="D487" s="138"/>
      <c r="E487" s="138"/>
      <c r="F487" s="138"/>
      <c r="G487" s="138"/>
      <c r="H487" s="138"/>
      <c r="I487" s="138"/>
    </row>
    <row r="488" spans="1:9" ht="15">
      <c r="A488" s="138" t="s">
        <v>789</v>
      </c>
      <c r="B488" s="138"/>
      <c r="C488" s="138"/>
      <c r="D488" s="138"/>
      <c r="E488" s="138"/>
      <c r="F488" s="138"/>
      <c r="G488" s="138"/>
      <c r="H488" s="138"/>
      <c r="I488" s="138"/>
    </row>
    <row r="489" spans="1:9" ht="15">
      <c r="A489" s="138" t="s">
        <v>813</v>
      </c>
      <c r="B489" s="138"/>
      <c r="C489" s="138"/>
      <c r="D489" s="138"/>
      <c r="E489" s="138"/>
      <c r="F489" s="138"/>
      <c r="G489" s="138"/>
      <c r="H489" s="138"/>
      <c r="I489" s="138"/>
    </row>
    <row r="490" spans="1:9" ht="15">
      <c r="A490" s="138" t="s">
        <v>814</v>
      </c>
      <c r="B490" s="138"/>
      <c r="C490" s="138"/>
      <c r="D490" s="138"/>
      <c r="E490" s="138"/>
      <c r="F490" s="138"/>
      <c r="G490" s="138"/>
      <c r="H490" s="138"/>
      <c r="I490" s="138"/>
    </row>
    <row r="491" spans="1:9" ht="15">
      <c r="A491" s="138" t="s">
        <v>815</v>
      </c>
      <c r="B491" s="138"/>
      <c r="C491" s="138"/>
      <c r="D491" s="138"/>
      <c r="E491" s="138"/>
      <c r="F491" s="138"/>
      <c r="G491" s="138"/>
      <c r="H491" s="138"/>
      <c r="I491" s="138"/>
    </row>
    <row r="492" spans="1:9" ht="15">
      <c r="A492" s="138" t="s">
        <v>816</v>
      </c>
      <c r="B492" s="138"/>
      <c r="C492" s="138"/>
      <c r="D492" s="138"/>
      <c r="E492" s="138"/>
      <c r="F492" s="138"/>
      <c r="G492" s="138"/>
      <c r="H492" s="138"/>
      <c r="I492" s="138"/>
    </row>
    <row r="493" spans="1:9" ht="15">
      <c r="A493" s="138" t="s">
        <v>817</v>
      </c>
      <c r="B493" s="138"/>
      <c r="C493" s="138"/>
      <c r="D493" s="138"/>
      <c r="E493" s="138"/>
      <c r="F493" s="138"/>
      <c r="G493" s="138"/>
      <c r="H493" s="138"/>
      <c r="I493" s="138"/>
    </row>
    <row r="494" spans="1:9" ht="15">
      <c r="A494" s="138" t="s">
        <v>818</v>
      </c>
      <c r="B494" s="138" t="s">
        <v>583</v>
      </c>
      <c r="C494" s="138"/>
      <c r="D494" s="138"/>
      <c r="E494" s="138"/>
      <c r="F494" s="138"/>
      <c r="G494" s="138"/>
      <c r="H494" s="138"/>
      <c r="I494" s="138"/>
    </row>
    <row r="495" spans="1:9" ht="15">
      <c r="A495" s="138" t="s">
        <v>781</v>
      </c>
      <c r="B495" s="138" t="s">
        <v>819</v>
      </c>
      <c r="C495" s="138"/>
      <c r="D495" s="138"/>
      <c r="E495" s="138"/>
      <c r="F495" s="138"/>
      <c r="G495" s="138"/>
      <c r="H495" s="138"/>
      <c r="I495" s="138"/>
    </row>
    <row r="496" spans="1:9" ht="15">
      <c r="A496" s="138" t="s">
        <v>820</v>
      </c>
      <c r="B496" s="138" t="s">
        <v>821</v>
      </c>
      <c r="C496" s="138"/>
      <c r="D496" s="138"/>
    </row>
    <row r="497" spans="1:5" ht="15">
      <c r="A497" s="138" t="s">
        <v>822</v>
      </c>
      <c r="B497" s="138"/>
      <c r="C497" s="138"/>
      <c r="D497" s="138"/>
    </row>
    <row r="498" spans="1:5" ht="15">
      <c r="A498" s="138" t="s">
        <v>823</v>
      </c>
      <c r="B498" s="138" t="s">
        <v>774</v>
      </c>
      <c r="C498" s="138">
        <v>384.685</v>
      </c>
      <c r="D498" s="139">
        <v>0.32790000000000002</v>
      </c>
    </row>
    <row r="499" spans="1:5" ht="15">
      <c r="A499" s="138" t="s">
        <v>824</v>
      </c>
      <c r="B499" s="138" t="s">
        <v>774</v>
      </c>
      <c r="C499" s="138">
        <v>65.620999999999995</v>
      </c>
      <c r="D499" s="139">
        <v>5.5899999999999998E-2</v>
      </c>
    </row>
    <row r="500" spans="1:5" ht="15">
      <c r="A500" s="138" t="s">
        <v>825</v>
      </c>
      <c r="B500" s="138" t="s">
        <v>774</v>
      </c>
      <c r="C500" s="138" t="s">
        <v>774</v>
      </c>
      <c r="D500" s="139">
        <v>0</v>
      </c>
    </row>
    <row r="501" spans="1:5" ht="15">
      <c r="A501" s="138" t="s">
        <v>826</v>
      </c>
      <c r="B501" s="138" t="s">
        <v>774</v>
      </c>
      <c r="C501" s="138">
        <v>78.174000000000007</v>
      </c>
      <c r="D501" s="139">
        <v>6.6600000000000006E-2</v>
      </c>
    </row>
    <row r="502" spans="1:5" ht="15">
      <c r="A502" s="138" t="s">
        <v>827</v>
      </c>
      <c r="B502" s="138" t="s">
        <v>774</v>
      </c>
      <c r="C502" s="138">
        <v>644.86599999999999</v>
      </c>
      <c r="D502" s="139">
        <v>0.54959999999999998</v>
      </c>
    </row>
    <row r="503" spans="1:5" ht="15">
      <c r="A503" s="138" t="s">
        <v>828</v>
      </c>
      <c r="B503" s="138"/>
      <c r="C503" s="138"/>
      <c r="D503" s="138"/>
    </row>
    <row r="504" spans="1:5" ht="15">
      <c r="A504" s="138" t="s">
        <v>829</v>
      </c>
      <c r="B504" s="138">
        <v>839.8</v>
      </c>
      <c r="C504" s="138">
        <v>184.76499999999999</v>
      </c>
      <c r="D504" s="139">
        <v>0.1575</v>
      </c>
    </row>
    <row r="505" spans="1:5" ht="15">
      <c r="A505" s="138" t="s">
        <v>830</v>
      </c>
      <c r="B505" s="138">
        <v>217.7</v>
      </c>
      <c r="C505" s="138">
        <v>32.661000000000001</v>
      </c>
      <c r="D505" s="139">
        <v>2.7799999999999998E-2</v>
      </c>
    </row>
    <row r="506" spans="1:5" ht="15">
      <c r="A506" s="138" t="s">
        <v>831</v>
      </c>
      <c r="B506" s="138" t="s">
        <v>774</v>
      </c>
      <c r="C506" s="138" t="s">
        <v>774</v>
      </c>
      <c r="D506" s="139">
        <v>0</v>
      </c>
    </row>
    <row r="507" spans="1:5" ht="15">
      <c r="A507" s="138" t="s">
        <v>832</v>
      </c>
      <c r="B507" s="138" t="s">
        <v>774</v>
      </c>
      <c r="C507" s="138" t="s">
        <v>774</v>
      </c>
      <c r="D507" s="139">
        <v>0</v>
      </c>
    </row>
    <row r="508" spans="1:5" ht="15">
      <c r="A508" s="138" t="s">
        <v>833</v>
      </c>
      <c r="B508" s="138">
        <v>328.8</v>
      </c>
      <c r="C508" s="138">
        <v>427.44</v>
      </c>
      <c r="D508" s="139">
        <v>0.36430000000000001</v>
      </c>
    </row>
    <row r="509" spans="1:5" ht="15">
      <c r="A509" s="138" t="s">
        <v>834</v>
      </c>
      <c r="B509" s="138" t="s">
        <v>774</v>
      </c>
      <c r="C509" s="138" t="s">
        <v>774</v>
      </c>
      <c r="D509" s="139">
        <v>0</v>
      </c>
    </row>
    <row r="510" spans="1:5" ht="15">
      <c r="A510" s="138" t="s">
        <v>835</v>
      </c>
      <c r="B510" s="138" t="s">
        <v>774</v>
      </c>
      <c r="C510" s="138" t="s">
        <v>774</v>
      </c>
      <c r="D510" s="139">
        <v>0</v>
      </c>
    </row>
    <row r="511" spans="1:5" ht="15">
      <c r="A511" s="138" t="s">
        <v>836</v>
      </c>
      <c r="B511" s="138">
        <v>177.1</v>
      </c>
      <c r="C511" s="138">
        <v>65.620999999999995</v>
      </c>
      <c r="D511" s="139">
        <v>5.5899999999999998E-2</v>
      </c>
    </row>
    <row r="512" spans="1:5" ht="15">
      <c r="A512" s="138" t="s">
        <v>837</v>
      </c>
      <c r="B512" s="138" t="s">
        <v>774</v>
      </c>
      <c r="C512" s="138" t="s">
        <v>774</v>
      </c>
      <c r="D512" s="139">
        <v>0</v>
      </c>
      <c r="E512" s="138"/>
    </row>
    <row r="513" spans="1:5" ht="15">
      <c r="A513" s="138">
        <v>2</v>
      </c>
      <c r="B513" s="138" t="s">
        <v>838</v>
      </c>
      <c r="C513" s="138" t="s">
        <v>774</v>
      </c>
      <c r="D513" s="138">
        <v>130.72900000000001</v>
      </c>
      <c r="E513" s="139">
        <v>1</v>
      </c>
    </row>
    <row r="514" spans="1:5" ht="15">
      <c r="A514" s="138" t="s">
        <v>839</v>
      </c>
      <c r="B514" s="138" t="s">
        <v>840</v>
      </c>
      <c r="C514" s="138" t="s">
        <v>774</v>
      </c>
      <c r="D514" s="138">
        <v>18.039000000000001</v>
      </c>
      <c r="E514" s="139">
        <v>0.13800000000000001</v>
      </c>
    </row>
    <row r="515" spans="1:5" ht="15">
      <c r="A515" s="138"/>
      <c r="B515" s="138" t="s">
        <v>824</v>
      </c>
      <c r="C515" s="138" t="s">
        <v>774</v>
      </c>
      <c r="D515" s="138">
        <v>19.869</v>
      </c>
      <c r="E515" s="139">
        <v>0.152</v>
      </c>
    </row>
    <row r="516" spans="1:5" ht="15">
      <c r="A516" s="138"/>
      <c r="B516" s="138" t="s">
        <v>825</v>
      </c>
      <c r="C516" s="138" t="s">
        <v>774</v>
      </c>
      <c r="D516" s="138" t="s">
        <v>774</v>
      </c>
      <c r="E516" s="139">
        <v>0</v>
      </c>
    </row>
    <row r="517" spans="1:5" ht="15">
      <c r="A517" s="138"/>
      <c r="B517" s="138" t="s">
        <v>826</v>
      </c>
      <c r="C517" s="138" t="s">
        <v>774</v>
      </c>
      <c r="D517" s="138">
        <v>10.01</v>
      </c>
      <c r="E517" s="139">
        <v>7.6600000000000001E-2</v>
      </c>
    </row>
    <row r="518" spans="1:5" ht="15">
      <c r="A518" s="138"/>
      <c r="B518" s="138" t="s">
        <v>827</v>
      </c>
      <c r="C518" s="138" t="s">
        <v>774</v>
      </c>
      <c r="D518" s="138">
        <v>82.811000000000007</v>
      </c>
      <c r="E518" s="139">
        <v>0.63349999999999995</v>
      </c>
    </row>
    <row r="519" spans="1:5" ht="15">
      <c r="A519" s="138" t="s">
        <v>828</v>
      </c>
      <c r="B519" s="138"/>
      <c r="C519" s="138"/>
      <c r="D519" s="138"/>
      <c r="E519" s="138"/>
    </row>
    <row r="520" spans="1:5" ht="15">
      <c r="A520" s="138" t="s">
        <v>829</v>
      </c>
      <c r="B520" s="138">
        <v>65.900000000000006</v>
      </c>
      <c r="C520" s="138">
        <v>14.487</v>
      </c>
      <c r="D520" s="139">
        <v>0.1108</v>
      </c>
      <c r="E520" s="138"/>
    </row>
    <row r="521" spans="1:5" ht="15">
      <c r="A521" s="138" t="s">
        <v>830</v>
      </c>
      <c r="B521" s="138">
        <v>23</v>
      </c>
      <c r="C521" s="138">
        <v>3.444</v>
      </c>
      <c r="D521" s="139">
        <v>2.63E-2</v>
      </c>
      <c r="E521" s="138"/>
    </row>
    <row r="522" spans="1:5" ht="15">
      <c r="A522" s="138" t="s">
        <v>831</v>
      </c>
      <c r="B522" s="138" t="s">
        <v>774</v>
      </c>
      <c r="C522" s="138" t="s">
        <v>774</v>
      </c>
      <c r="D522" s="139">
        <v>0</v>
      </c>
      <c r="E522" s="138"/>
    </row>
    <row r="523" spans="1:5" ht="15">
      <c r="A523" s="138" t="s">
        <v>832</v>
      </c>
      <c r="B523" s="138" t="s">
        <v>774</v>
      </c>
      <c r="C523" s="138" t="s">
        <v>774</v>
      </c>
      <c r="D523" s="139">
        <v>0</v>
      </c>
      <c r="E523" s="138">
        <v>0</v>
      </c>
    </row>
    <row r="524" spans="1:5" ht="15">
      <c r="A524" s="138" t="s">
        <v>833</v>
      </c>
      <c r="B524" s="138">
        <v>41.1</v>
      </c>
      <c r="C524" s="138">
        <v>53.456000000000003</v>
      </c>
      <c r="D524" s="139">
        <v>0.40889999999999999</v>
      </c>
      <c r="E524" s="138">
        <v>0</v>
      </c>
    </row>
    <row r="525" spans="1:5" ht="15">
      <c r="A525" s="138" t="s">
        <v>834</v>
      </c>
      <c r="B525" s="138" t="s">
        <v>774</v>
      </c>
      <c r="C525" s="138" t="s">
        <v>774</v>
      </c>
      <c r="D525" s="139">
        <v>0</v>
      </c>
      <c r="E525" s="138">
        <v>0</v>
      </c>
    </row>
    <row r="526" spans="1:5" ht="15">
      <c r="A526" s="138" t="s">
        <v>835</v>
      </c>
      <c r="B526" s="138">
        <v>6.7</v>
      </c>
      <c r="C526" s="138">
        <v>11.423999999999999</v>
      </c>
      <c r="D526" s="139">
        <v>8.7400000000000005E-2</v>
      </c>
      <c r="E526" s="138">
        <v>0</v>
      </c>
    </row>
    <row r="527" spans="1:5" ht="15">
      <c r="A527" s="138" t="s">
        <v>836</v>
      </c>
      <c r="B527" s="138">
        <v>63.5</v>
      </c>
      <c r="C527" s="138">
        <v>19.869</v>
      </c>
      <c r="D527" s="139">
        <v>0.152</v>
      </c>
      <c r="E527" s="138">
        <v>0</v>
      </c>
    </row>
    <row r="528" spans="1:5" ht="15">
      <c r="A528" s="138" t="s">
        <v>837</v>
      </c>
      <c r="B528" s="138" t="s">
        <v>774</v>
      </c>
      <c r="C528" s="138" t="s">
        <v>774</v>
      </c>
      <c r="D528" s="139">
        <v>0</v>
      </c>
      <c r="E528" s="138">
        <v>0</v>
      </c>
    </row>
    <row r="529" spans="1:8" ht="15">
      <c r="A529" s="138" t="s">
        <v>841</v>
      </c>
      <c r="B529" s="138" t="s">
        <v>774</v>
      </c>
      <c r="C529" s="138">
        <v>0</v>
      </c>
      <c r="D529" s="139">
        <v>0</v>
      </c>
      <c r="E529" s="138">
        <v>0</v>
      </c>
    </row>
    <row r="530" spans="1:8" ht="15">
      <c r="A530" s="138" t="s">
        <v>842</v>
      </c>
      <c r="B530" s="138"/>
      <c r="C530" s="138"/>
      <c r="D530" s="138"/>
      <c r="E530" s="138"/>
    </row>
    <row r="531" spans="1:8" ht="15">
      <c r="A531" s="138" t="s">
        <v>843</v>
      </c>
      <c r="B531" s="138"/>
      <c r="C531" s="138"/>
      <c r="D531" s="138"/>
      <c r="E531" s="138"/>
    </row>
    <row r="532" spans="1:8" ht="15">
      <c r="A532" s="138" t="s">
        <v>844</v>
      </c>
      <c r="B532" s="138"/>
      <c r="C532" s="138"/>
      <c r="D532" s="138"/>
      <c r="E532" s="138"/>
    </row>
    <row r="533" spans="1:8" ht="15">
      <c r="A533" s="138" t="s">
        <v>845</v>
      </c>
      <c r="B533" s="138"/>
      <c r="C533" s="138"/>
      <c r="D533" s="138"/>
      <c r="E533" s="138"/>
    </row>
    <row r="534" spans="1:8" ht="15">
      <c r="A534" s="138" t="s">
        <v>846</v>
      </c>
      <c r="B534" s="138"/>
      <c r="C534" s="138"/>
      <c r="D534" s="138"/>
      <c r="E534" s="138"/>
    </row>
    <row r="535" spans="1:8" ht="15">
      <c r="A535" s="138" t="s">
        <v>847</v>
      </c>
      <c r="B535" s="138"/>
      <c r="C535" s="138"/>
      <c r="D535" s="138"/>
      <c r="E535" s="138"/>
    </row>
    <row r="536" spans="1:8" ht="15">
      <c r="A536" s="138" t="s">
        <v>848</v>
      </c>
      <c r="B536" s="138"/>
      <c r="C536" s="138"/>
      <c r="D536" s="138"/>
      <c r="E536" s="138"/>
    </row>
    <row r="537" spans="1:8" ht="15">
      <c r="A537" s="138" t="s">
        <v>849</v>
      </c>
      <c r="B537" s="138"/>
      <c r="C537" s="138"/>
      <c r="D537" s="138"/>
      <c r="E537" s="138"/>
    </row>
    <row r="538" spans="1:8" ht="15">
      <c r="A538" s="138" t="s">
        <v>794</v>
      </c>
      <c r="B538" s="138"/>
      <c r="C538" s="138"/>
      <c r="D538" s="138"/>
      <c r="E538" s="138"/>
    </row>
    <row r="539" spans="1:8" ht="15">
      <c r="A539" s="138" t="s">
        <v>795</v>
      </c>
      <c r="B539" s="138"/>
      <c r="C539" s="138"/>
      <c r="D539" s="138"/>
      <c r="E539" s="138"/>
    </row>
    <row r="540" spans="1:8" ht="15">
      <c r="A540" s="138" t="s">
        <v>850</v>
      </c>
      <c r="B540" s="138"/>
      <c r="C540" s="138"/>
      <c r="D540" s="138"/>
      <c r="E540" s="138"/>
    </row>
    <row r="541" spans="1:8" ht="15">
      <c r="A541" s="138" t="s">
        <v>851</v>
      </c>
      <c r="B541" s="138"/>
      <c r="C541" s="138"/>
      <c r="D541" s="138"/>
      <c r="E541" s="138"/>
    </row>
    <row r="542" spans="1:8" ht="15">
      <c r="A542" s="138" t="s">
        <v>766</v>
      </c>
      <c r="B542" s="138" t="s">
        <v>767</v>
      </c>
      <c r="C542" s="138" t="s">
        <v>768</v>
      </c>
      <c r="D542" s="138" t="s">
        <v>769</v>
      </c>
      <c r="E542" s="138" t="s">
        <v>770</v>
      </c>
      <c r="F542" s="138" t="s">
        <v>771</v>
      </c>
      <c r="G542" s="138" t="s">
        <v>772</v>
      </c>
      <c r="H542" s="138" t="s">
        <v>773</v>
      </c>
    </row>
    <row r="543" spans="1:8" ht="15">
      <c r="A543" s="138">
        <v>1</v>
      </c>
      <c r="B543" s="138">
        <v>72.174000000000007</v>
      </c>
      <c r="C543" s="138">
        <v>15.51</v>
      </c>
      <c r="D543" s="138">
        <v>10.147</v>
      </c>
      <c r="E543" s="138">
        <v>25.655999999999999</v>
      </c>
      <c r="F543" s="138">
        <v>0.996</v>
      </c>
      <c r="G543" s="138">
        <v>100</v>
      </c>
      <c r="H543" s="138">
        <v>46.615000000000002</v>
      </c>
    </row>
    <row r="544" spans="1:8" ht="15">
      <c r="A544" s="138">
        <v>2</v>
      </c>
      <c r="B544" s="138">
        <v>61.494999999999997</v>
      </c>
      <c r="C544" s="138">
        <v>12.632999999999999</v>
      </c>
      <c r="D544" s="138">
        <v>16.157</v>
      </c>
      <c r="E544" s="138">
        <v>28.79</v>
      </c>
      <c r="F544" s="138">
        <v>0.98799999999999999</v>
      </c>
      <c r="G544" s="138">
        <v>100</v>
      </c>
      <c r="H544" s="138">
        <v>33.055999999999997</v>
      </c>
    </row>
    <row r="545" spans="1:8" ht="15">
      <c r="A545" s="138">
        <v>3</v>
      </c>
      <c r="B545" s="138">
        <v>55.131999999999998</v>
      </c>
      <c r="C545" s="138">
        <v>12.802</v>
      </c>
      <c r="D545" s="138">
        <v>27.303000000000001</v>
      </c>
      <c r="E545" s="138">
        <v>40.104999999999997</v>
      </c>
      <c r="F545" s="138">
        <v>0.93400000000000005</v>
      </c>
      <c r="G545" s="138">
        <v>90.5</v>
      </c>
      <c r="H545" s="138">
        <v>17.681999999999999</v>
      </c>
    </row>
    <row r="546" spans="1:8" ht="15">
      <c r="A546" s="138">
        <v>4</v>
      </c>
      <c r="B546" s="138">
        <v>38.841000000000001</v>
      </c>
      <c r="C546" s="138">
        <v>11.351000000000001</v>
      </c>
      <c r="D546" s="138">
        <v>39.430999999999997</v>
      </c>
      <c r="E546" s="138">
        <v>50.781999999999996</v>
      </c>
      <c r="F546" s="138">
        <v>0.70199999999999996</v>
      </c>
      <c r="G546" s="138">
        <v>19.3</v>
      </c>
      <c r="H546" s="138">
        <v>3.19</v>
      </c>
    </row>
    <row r="547" spans="1:8" ht="15">
      <c r="A547" s="138">
        <v>5</v>
      </c>
      <c r="B547" s="138">
        <v>22.413</v>
      </c>
      <c r="C547" s="138">
        <v>10.884</v>
      </c>
      <c r="D547" s="138">
        <v>45.404000000000003</v>
      </c>
      <c r="E547" s="138">
        <v>56.287999999999997</v>
      </c>
      <c r="F547" s="138">
        <v>0.39800000000000002</v>
      </c>
      <c r="G547" s="138">
        <v>0</v>
      </c>
      <c r="H547" s="138" t="s">
        <v>774</v>
      </c>
    </row>
    <row r="548" spans="1:8" ht="15">
      <c r="A548" s="138">
        <v>6</v>
      </c>
      <c r="B548" s="138">
        <v>12.313000000000001</v>
      </c>
      <c r="C548" s="138">
        <v>10.259</v>
      </c>
      <c r="D548" s="138">
        <v>45.521000000000001</v>
      </c>
      <c r="E548" s="138">
        <v>55.780999999999999</v>
      </c>
      <c r="F548" s="138">
        <v>0.221</v>
      </c>
      <c r="G548" s="138">
        <v>0</v>
      </c>
      <c r="H548" s="138" t="s">
        <v>774</v>
      </c>
    </row>
    <row r="549" spans="1:8" ht="15">
      <c r="A549" s="138">
        <v>7</v>
      </c>
      <c r="B549" s="138">
        <v>6.8689999999999998</v>
      </c>
      <c r="C549" s="138">
        <v>10.601000000000001</v>
      </c>
      <c r="D549" s="138">
        <v>43.639000000000003</v>
      </c>
      <c r="E549" s="138">
        <v>54.241</v>
      </c>
      <c r="F549" s="138">
        <v>0.127</v>
      </c>
      <c r="G549" s="138">
        <v>0</v>
      </c>
      <c r="H549" s="138" t="s">
        <v>774</v>
      </c>
    </row>
    <row r="550" spans="1:8" ht="15">
      <c r="A550" s="138">
        <v>8</v>
      </c>
      <c r="B550" s="138">
        <v>7.1769999999999996</v>
      </c>
      <c r="C550" s="138">
        <v>10.884</v>
      </c>
      <c r="D550" s="138">
        <v>43.521000000000001</v>
      </c>
      <c r="E550" s="138">
        <v>54.404000000000003</v>
      </c>
      <c r="F550" s="138">
        <v>0.13200000000000001</v>
      </c>
      <c r="G550" s="138">
        <v>0</v>
      </c>
      <c r="H550" s="138" t="s">
        <v>774</v>
      </c>
    </row>
    <row r="551" spans="1:8" ht="15">
      <c r="A551" s="138">
        <v>9</v>
      </c>
      <c r="B551" s="138">
        <v>21.03</v>
      </c>
      <c r="C551" s="138">
        <v>11.461</v>
      </c>
      <c r="D551" s="138">
        <v>30.14</v>
      </c>
      <c r="E551" s="138">
        <v>41.6</v>
      </c>
      <c r="F551" s="138">
        <v>0.50600000000000001</v>
      </c>
      <c r="G551" s="138">
        <v>0</v>
      </c>
      <c r="H551" s="138" t="s">
        <v>774</v>
      </c>
    </row>
    <row r="552" spans="1:8" ht="15">
      <c r="A552" s="138">
        <v>10</v>
      </c>
      <c r="B552" s="138">
        <v>39.454000000000001</v>
      </c>
      <c r="C552" s="138">
        <v>12.744999999999999</v>
      </c>
      <c r="D552" s="138">
        <v>23.719000000000001</v>
      </c>
      <c r="E552" s="138">
        <v>36.463999999999999</v>
      </c>
      <c r="F552" s="138">
        <v>0.86099999999999999</v>
      </c>
      <c r="G552" s="138">
        <v>65.900000000000006</v>
      </c>
      <c r="H552" s="138">
        <v>8.0449999999999999</v>
      </c>
    </row>
    <row r="553" spans="1:8" ht="15">
      <c r="A553" s="138">
        <v>11</v>
      </c>
      <c r="B553" s="138">
        <v>55.003</v>
      </c>
      <c r="C553" s="138">
        <v>13.481</v>
      </c>
      <c r="D553" s="138">
        <v>12.531000000000001</v>
      </c>
      <c r="E553" s="138">
        <v>26.012</v>
      </c>
      <c r="F553" s="138">
        <v>0.98699999999999999</v>
      </c>
      <c r="G553" s="138">
        <v>100</v>
      </c>
      <c r="H553" s="138">
        <v>29.327000000000002</v>
      </c>
    </row>
    <row r="554" spans="1:8" ht="15">
      <c r="A554" s="138">
        <v>12</v>
      </c>
      <c r="B554" s="138">
        <v>66.039000000000001</v>
      </c>
      <c r="C554" s="138">
        <v>15.397</v>
      </c>
      <c r="D554" s="138">
        <v>8.4489999999999998</v>
      </c>
      <c r="E554" s="138">
        <v>23.846</v>
      </c>
      <c r="F554" s="138">
        <v>0.996</v>
      </c>
      <c r="G554" s="138">
        <v>100</v>
      </c>
      <c r="H554" s="138">
        <v>42.29</v>
      </c>
    </row>
    <row r="555" spans="1:8" ht="15">
      <c r="A555" s="138" t="s">
        <v>775</v>
      </c>
      <c r="B555" s="138"/>
      <c r="C555" s="138"/>
      <c r="D555" s="138"/>
      <c r="E555" s="138"/>
      <c r="F555" s="138"/>
      <c r="G555" s="138"/>
      <c r="H555" s="138"/>
    </row>
    <row r="556" spans="1:8" ht="15">
      <c r="A556" s="138" t="s">
        <v>776</v>
      </c>
      <c r="B556" s="138"/>
      <c r="C556" s="138"/>
      <c r="D556" s="138"/>
      <c r="E556" s="138"/>
      <c r="F556" s="138"/>
      <c r="G556" s="138"/>
      <c r="H556" s="138"/>
    </row>
    <row r="557" spans="1:8" ht="15">
      <c r="A557" s="138" t="s">
        <v>852</v>
      </c>
      <c r="B557" s="138" t="s">
        <v>853</v>
      </c>
      <c r="C557" s="138" t="s">
        <v>854</v>
      </c>
      <c r="D557" s="138">
        <v>227.642</v>
      </c>
      <c r="E557" s="138">
        <v>145.333</v>
      </c>
      <c r="F557" s="138">
        <v>100.54300000000001</v>
      </c>
      <c r="G557" s="138"/>
      <c r="H557" s="138"/>
    </row>
    <row r="558" spans="1:8" ht="15">
      <c r="A558" s="138" t="s">
        <v>855</v>
      </c>
      <c r="B558" s="138" t="s">
        <v>856</v>
      </c>
      <c r="C558" s="138"/>
      <c r="D558" s="138"/>
      <c r="E558" s="138"/>
      <c r="F558" s="138"/>
      <c r="G558" s="138"/>
      <c r="H558" s="138"/>
    </row>
    <row r="559" spans="1:8" ht="15">
      <c r="A559" s="138" t="s">
        <v>857</v>
      </c>
      <c r="B559" s="138">
        <v>160.49600000000001</v>
      </c>
      <c r="C559" s="138">
        <v>86.322000000000003</v>
      </c>
      <c r="D559" s="138">
        <v>79.662000000000006</v>
      </c>
      <c r="E559" s="138"/>
      <c r="F559" s="138"/>
      <c r="G559" s="138"/>
      <c r="H559" s="138"/>
    </row>
    <row r="560" spans="1:8" ht="15">
      <c r="A560" s="138" t="s">
        <v>858</v>
      </c>
      <c r="B560" s="138" t="s">
        <v>859</v>
      </c>
      <c r="C560" s="138" t="s">
        <v>860</v>
      </c>
      <c r="D560" s="138">
        <v>388.13799999999998</v>
      </c>
      <c r="E560" s="138">
        <v>231.655</v>
      </c>
      <c r="F560" s="138">
        <v>180.20500000000001</v>
      </c>
      <c r="G560" s="138">
        <v>156.483</v>
      </c>
      <c r="H560" s="138"/>
    </row>
    <row r="561" spans="1:9" ht="15">
      <c r="A561" s="138" t="s">
        <v>861</v>
      </c>
      <c r="B561" s="138" t="s">
        <v>862</v>
      </c>
      <c r="C561" s="138">
        <v>107.8161111</v>
      </c>
      <c r="D561" s="138">
        <v>64.348611109999993</v>
      </c>
      <c r="E561" s="138">
        <v>50.056944440000002</v>
      </c>
      <c r="F561" s="138"/>
      <c r="G561" s="138"/>
      <c r="H561" s="138"/>
    </row>
    <row r="562" spans="1:9" ht="15">
      <c r="A562" s="138" t="s">
        <v>863</v>
      </c>
      <c r="B562" s="138"/>
      <c r="C562" s="138"/>
      <c r="D562" s="138"/>
      <c r="E562" s="138"/>
      <c r="F562" s="138"/>
      <c r="G562" s="138"/>
      <c r="H562" s="138"/>
    </row>
    <row r="563" spans="1:9" ht="15">
      <c r="A563" s="138" t="s">
        <v>864</v>
      </c>
      <c r="B563" s="138"/>
      <c r="C563" s="138"/>
      <c r="D563" s="138"/>
      <c r="E563" s="138"/>
      <c r="F563" s="138"/>
      <c r="G563" s="138"/>
      <c r="H563" s="138"/>
    </row>
    <row r="564" spans="1:9" ht="15">
      <c r="A564" s="138" t="s">
        <v>865</v>
      </c>
      <c r="B564" s="138"/>
      <c r="C564" s="138"/>
      <c r="D564" s="138"/>
      <c r="E564" s="138"/>
      <c r="F564" s="138"/>
      <c r="G564" s="138"/>
      <c r="H564" s="138"/>
    </row>
    <row r="565" spans="1:9" ht="15">
      <c r="A565" s="138" t="s">
        <v>766</v>
      </c>
      <c r="B565" s="138" t="s">
        <v>779</v>
      </c>
      <c r="C565" s="138" t="s">
        <v>780</v>
      </c>
      <c r="D565" s="138" t="s">
        <v>782</v>
      </c>
      <c r="E565" s="138" t="s">
        <v>783</v>
      </c>
      <c r="F565" s="138" t="s">
        <v>784</v>
      </c>
      <c r="G565" s="138" t="s">
        <v>785</v>
      </c>
      <c r="H565" s="138" t="s">
        <v>786</v>
      </c>
      <c r="I565" s="138" t="s">
        <v>787</v>
      </c>
    </row>
    <row r="566" spans="1:9" ht="15">
      <c r="A566" s="138">
        <v>1</v>
      </c>
      <c r="B566" s="138">
        <v>60.732999999999997</v>
      </c>
      <c r="C566" s="138"/>
      <c r="D566" s="138"/>
      <c r="E566" s="138"/>
      <c r="F566" s="138">
        <v>9.1560000000000006</v>
      </c>
      <c r="G566" s="138">
        <v>10.792</v>
      </c>
      <c r="H566" s="138">
        <v>1.3879999999999999</v>
      </c>
      <c r="I566" s="138">
        <v>82.069000000000003</v>
      </c>
    </row>
    <row r="567" spans="1:9" ht="15">
      <c r="A567" s="138">
        <v>2</v>
      </c>
      <c r="B567" s="138">
        <v>43.067999999999998</v>
      </c>
      <c r="C567" s="138" t="s">
        <v>774</v>
      </c>
      <c r="D567" s="138" t="s">
        <v>774</v>
      </c>
      <c r="E567" s="138" t="s">
        <v>774</v>
      </c>
      <c r="F567" s="138">
        <v>9.1560000000000006</v>
      </c>
      <c r="G567" s="138">
        <v>8.0280000000000005</v>
      </c>
      <c r="H567" s="138">
        <v>1.254</v>
      </c>
      <c r="I567" s="138">
        <v>61.506</v>
      </c>
    </row>
    <row r="568" spans="1:9" ht="15">
      <c r="A568" s="138">
        <v>3</v>
      </c>
      <c r="B568" s="138">
        <v>23.036999999999999</v>
      </c>
      <c r="C568" s="138" t="s">
        <v>774</v>
      </c>
      <c r="D568" s="138" t="s">
        <v>774</v>
      </c>
      <c r="E568" s="138" t="s">
        <v>774</v>
      </c>
      <c r="F568" s="138">
        <v>9.1560000000000006</v>
      </c>
      <c r="G568" s="138">
        <v>7.4080000000000004</v>
      </c>
      <c r="H568" s="138">
        <v>1.36</v>
      </c>
      <c r="I568" s="138">
        <v>40.96</v>
      </c>
    </row>
    <row r="569" spans="1:9" ht="15">
      <c r="A569" s="138">
        <v>4</v>
      </c>
      <c r="B569" s="138">
        <v>4.1559999999999997</v>
      </c>
      <c r="C569" s="138" t="s">
        <v>774</v>
      </c>
      <c r="D569" s="138" t="s">
        <v>774</v>
      </c>
      <c r="E569" s="138" t="s">
        <v>774</v>
      </c>
      <c r="F569" s="138">
        <v>9.1560000000000006</v>
      </c>
      <c r="G569" s="138">
        <v>5.8719999999999999</v>
      </c>
      <c r="H569" s="138">
        <v>0.46200000000000002</v>
      </c>
      <c r="I569" s="138">
        <v>19.645</v>
      </c>
    </row>
    <row r="570" spans="1:9" ht="15">
      <c r="A570" s="138">
        <v>5</v>
      </c>
      <c r="B570" s="138" t="s">
        <v>774</v>
      </c>
      <c r="C570" s="138" t="s">
        <v>774</v>
      </c>
      <c r="D570" s="138" t="s">
        <v>774</v>
      </c>
      <c r="E570" s="138" t="s">
        <v>774</v>
      </c>
      <c r="F570" s="138">
        <v>9.1560000000000006</v>
      </c>
      <c r="G570" s="138">
        <v>5.01</v>
      </c>
      <c r="H570" s="138" t="s">
        <v>774</v>
      </c>
      <c r="I570" s="138">
        <v>14.164999999999999</v>
      </c>
    </row>
    <row r="571" spans="1:9" ht="15">
      <c r="A571" s="138">
        <v>6</v>
      </c>
      <c r="B571" s="138" t="s">
        <v>774</v>
      </c>
      <c r="C571" s="138" t="s">
        <v>774</v>
      </c>
      <c r="D571" s="138" t="s">
        <v>774</v>
      </c>
      <c r="E571" s="138" t="s">
        <v>774</v>
      </c>
      <c r="F571" s="138">
        <v>9.1560000000000006</v>
      </c>
      <c r="G571" s="138">
        <v>4.5069999999999997</v>
      </c>
      <c r="H571" s="138" t="s">
        <v>774</v>
      </c>
      <c r="I571" s="138">
        <v>13.663</v>
      </c>
    </row>
    <row r="572" spans="1:9" ht="15">
      <c r="A572" s="138">
        <v>7</v>
      </c>
      <c r="B572" s="138" t="s">
        <v>774</v>
      </c>
      <c r="C572" s="138" t="s">
        <v>774</v>
      </c>
      <c r="D572" s="138" t="s">
        <v>774</v>
      </c>
      <c r="E572" s="138" t="s">
        <v>774</v>
      </c>
      <c r="F572" s="138">
        <v>9.1560000000000006</v>
      </c>
      <c r="G572" s="138">
        <v>4.657</v>
      </c>
      <c r="H572" s="138" t="s">
        <v>774</v>
      </c>
      <c r="I572" s="138">
        <v>13.813000000000001</v>
      </c>
    </row>
    <row r="573" spans="1:9" ht="15">
      <c r="A573" s="138">
        <v>8</v>
      </c>
      <c r="B573" s="138" t="s">
        <v>774</v>
      </c>
      <c r="C573" s="138" t="s">
        <v>774</v>
      </c>
      <c r="D573" s="138" t="s">
        <v>774</v>
      </c>
      <c r="E573" s="138" t="s">
        <v>774</v>
      </c>
      <c r="F573" s="138">
        <v>9.1560000000000006</v>
      </c>
      <c r="G573" s="138">
        <v>5.01</v>
      </c>
      <c r="H573" s="138" t="s">
        <v>774</v>
      </c>
      <c r="I573" s="138">
        <v>14.164999999999999</v>
      </c>
    </row>
    <row r="574" spans="1:9" ht="15">
      <c r="A574" s="138">
        <v>9</v>
      </c>
      <c r="B574" s="138" t="s">
        <v>774</v>
      </c>
      <c r="C574" s="138" t="s">
        <v>774</v>
      </c>
      <c r="D574" s="138" t="s">
        <v>774</v>
      </c>
      <c r="E574" s="138" t="s">
        <v>774</v>
      </c>
      <c r="F574" s="138">
        <v>9.1560000000000006</v>
      </c>
      <c r="G574" s="138">
        <v>6.008</v>
      </c>
      <c r="H574" s="138" t="s">
        <v>774</v>
      </c>
      <c r="I574" s="138">
        <v>15.164</v>
      </c>
    </row>
    <row r="575" spans="1:9" ht="15">
      <c r="A575" s="138">
        <v>10</v>
      </c>
      <c r="B575" s="138">
        <v>10.481</v>
      </c>
      <c r="C575" s="138" t="s">
        <v>774</v>
      </c>
      <c r="D575" s="138" t="s">
        <v>774</v>
      </c>
      <c r="E575" s="138" t="s">
        <v>774</v>
      </c>
      <c r="F575" s="138">
        <v>9.1560000000000006</v>
      </c>
      <c r="G575" s="138">
        <v>7.3369999999999997</v>
      </c>
      <c r="H575" s="138">
        <v>1.071</v>
      </c>
      <c r="I575" s="138">
        <v>28.044</v>
      </c>
    </row>
    <row r="576" spans="1:9" ht="15">
      <c r="A576" s="138">
        <v>11</v>
      </c>
      <c r="B576" s="138">
        <v>38.209000000000003</v>
      </c>
      <c r="C576" s="138" t="s">
        <v>774</v>
      </c>
      <c r="D576" s="138" t="s">
        <v>774</v>
      </c>
      <c r="E576" s="138" t="s">
        <v>774</v>
      </c>
      <c r="F576" s="138">
        <v>9.1560000000000006</v>
      </c>
      <c r="G576" s="138">
        <v>8.5329999999999995</v>
      </c>
      <c r="H576" s="138">
        <v>1.3440000000000001</v>
      </c>
      <c r="I576" s="138">
        <v>57.241999999999997</v>
      </c>
    </row>
    <row r="577" spans="1:9" ht="15">
      <c r="A577" s="138">
        <v>12</v>
      </c>
      <c r="B577" s="138">
        <v>55.098999999999997</v>
      </c>
      <c r="C577" s="138" t="s">
        <v>774</v>
      </c>
      <c r="D577" s="138" t="s">
        <v>774</v>
      </c>
      <c r="E577" s="138" t="s">
        <v>774</v>
      </c>
      <c r="F577" s="138">
        <v>9.1560000000000006</v>
      </c>
      <c r="G577" s="138">
        <v>10.651</v>
      </c>
      <c r="H577" s="138">
        <v>1.3879999999999999</v>
      </c>
      <c r="I577" s="138">
        <v>76.293999999999997</v>
      </c>
    </row>
    <row r="578" spans="1:9" ht="15">
      <c r="A578" s="138" t="s">
        <v>788</v>
      </c>
      <c r="B578" s="138"/>
      <c r="C578" s="138"/>
      <c r="D578" s="138"/>
      <c r="E578" s="138"/>
      <c r="F578" s="138"/>
      <c r="G578" s="138"/>
      <c r="H578" s="138"/>
      <c r="I578" s="138"/>
    </row>
    <row r="579" spans="1:9" ht="15">
      <c r="A579" s="138" t="s">
        <v>789</v>
      </c>
      <c r="B579" s="138"/>
      <c r="C579" s="138"/>
      <c r="D579" s="138"/>
      <c r="E579" s="138"/>
      <c r="F579" s="138"/>
      <c r="G579" s="138"/>
      <c r="H579" s="138"/>
      <c r="I579" s="138"/>
    </row>
    <row r="580" spans="1:9" ht="15">
      <c r="A580" s="138" t="s">
        <v>866</v>
      </c>
      <c r="B580" s="138"/>
      <c r="C580" s="138"/>
      <c r="D580" s="138"/>
      <c r="E580" s="138"/>
      <c r="F580" s="138"/>
      <c r="G580" s="138"/>
      <c r="H580" s="138"/>
      <c r="I580" s="138"/>
    </row>
    <row r="581" spans="1:9" ht="15">
      <c r="A581" s="138" t="s">
        <v>867</v>
      </c>
      <c r="B581" s="138" t="s">
        <v>868</v>
      </c>
      <c r="C581" s="138" t="s">
        <v>869</v>
      </c>
      <c r="D581" s="138" t="s">
        <v>870</v>
      </c>
      <c r="E581" s="138"/>
      <c r="F581" s="138"/>
      <c r="G581" s="138"/>
      <c r="H581" s="138"/>
      <c r="I581" s="138"/>
    </row>
    <row r="582" spans="1:9" ht="15">
      <c r="A582" s="138" t="s">
        <v>871</v>
      </c>
      <c r="B582" s="138"/>
      <c r="C582" s="138"/>
      <c r="D582" s="138"/>
      <c r="E582" s="138"/>
      <c r="F582" s="138"/>
      <c r="G582" s="138"/>
      <c r="H582" s="138"/>
      <c r="I582" s="138"/>
    </row>
    <row r="583" spans="1:9" ht="15">
      <c r="A583" s="138" t="s">
        <v>872</v>
      </c>
      <c r="B583" s="138" t="s">
        <v>873</v>
      </c>
      <c r="C583" s="138"/>
      <c r="D583" s="138"/>
      <c r="E583" s="138"/>
      <c r="F583" s="138"/>
      <c r="G583" s="138"/>
      <c r="H583" s="138"/>
      <c r="I583" s="138"/>
    </row>
    <row r="584" spans="1:9" ht="15">
      <c r="A584" s="138" t="s">
        <v>874</v>
      </c>
      <c r="B584" s="138" t="s">
        <v>875</v>
      </c>
      <c r="C584" s="138"/>
      <c r="D584" s="138"/>
      <c r="E584" s="138"/>
      <c r="F584" s="138"/>
      <c r="G584" s="138"/>
      <c r="H584" s="138"/>
      <c r="I584" s="138"/>
    </row>
    <row r="585" spans="1:9" ht="15">
      <c r="A585" s="138" t="s">
        <v>876</v>
      </c>
      <c r="B585" s="138" t="s">
        <v>877</v>
      </c>
      <c r="C585" s="138"/>
      <c r="D585" s="138"/>
      <c r="E585" s="138"/>
      <c r="F585" s="138"/>
      <c r="G585" s="138"/>
      <c r="H585" s="138"/>
      <c r="I585" s="138"/>
    </row>
    <row r="586" spans="1:9" ht="15">
      <c r="A586" s="138" t="s">
        <v>878</v>
      </c>
      <c r="B586" s="138"/>
      <c r="C586" s="138"/>
      <c r="D586" s="138"/>
      <c r="E586" s="138"/>
      <c r="F586" s="138"/>
      <c r="G586" s="138"/>
      <c r="H586" s="138"/>
      <c r="I586" s="138"/>
    </row>
    <row r="587" spans="1:9" ht="15">
      <c r="A587" s="138" t="s">
        <v>879</v>
      </c>
      <c r="B587" s="138"/>
      <c r="C587" s="138"/>
      <c r="D587" s="138"/>
      <c r="E587" s="138"/>
      <c r="F587" s="138"/>
      <c r="G587" s="138"/>
      <c r="H587" s="138"/>
      <c r="I587" s="138"/>
    </row>
    <row r="588" spans="1:9" ht="15">
      <c r="A588" s="138" t="s">
        <v>880</v>
      </c>
      <c r="B588" s="138" t="s">
        <v>774</v>
      </c>
      <c r="C588" s="138"/>
      <c r="D588" s="138"/>
      <c r="E588" s="138"/>
      <c r="F588" s="138"/>
      <c r="G588" s="138"/>
      <c r="H588" s="138"/>
      <c r="I588" s="138"/>
    </row>
    <row r="589" spans="1:9" ht="15">
      <c r="A589" s="138" t="s">
        <v>774</v>
      </c>
      <c r="B589" s="138"/>
      <c r="C589" s="138"/>
      <c r="D589" s="138"/>
      <c r="E589" s="138"/>
      <c r="F589" s="138"/>
      <c r="G589" s="138"/>
      <c r="H589" s="138"/>
      <c r="I589" s="138"/>
    </row>
    <row r="590" spans="1:9" ht="15">
      <c r="A590" s="138" t="s">
        <v>781</v>
      </c>
      <c r="B590" s="138" t="s">
        <v>774</v>
      </c>
      <c r="C590" s="138"/>
      <c r="D590" s="138"/>
      <c r="E590" s="138"/>
      <c r="F590" s="138"/>
      <c r="G590" s="138"/>
      <c r="H590" s="138"/>
      <c r="I590" s="138"/>
    </row>
    <row r="591" spans="1:9" ht="15">
      <c r="A591" s="138" t="s">
        <v>774</v>
      </c>
      <c r="B591" s="138"/>
      <c r="C591" s="138"/>
      <c r="D591" s="138"/>
      <c r="E591" s="138"/>
      <c r="F591" s="138"/>
      <c r="G591" s="138"/>
      <c r="H591" s="138"/>
      <c r="I591" s="138"/>
    </row>
    <row r="592" spans="1:9" ht="15">
      <c r="A592" s="138" t="s">
        <v>781</v>
      </c>
      <c r="B592" s="138" t="s">
        <v>774</v>
      </c>
    </row>
    <row r="593" spans="1:4" ht="15">
      <c r="A593" s="138" t="s">
        <v>774</v>
      </c>
      <c r="B593" s="138"/>
    </row>
    <row r="594" spans="1:4" ht="15">
      <c r="A594" s="138" t="s">
        <v>781</v>
      </c>
      <c r="B594" s="138"/>
    </row>
    <row r="595" spans="1:4" ht="15">
      <c r="A595" s="138" t="s">
        <v>881</v>
      </c>
      <c r="B595" s="138" t="s">
        <v>774</v>
      </c>
    </row>
    <row r="596" spans="1:4" ht="15">
      <c r="A596" s="138" t="s">
        <v>774</v>
      </c>
      <c r="B596" s="138"/>
    </row>
    <row r="597" spans="1:4" ht="15">
      <c r="A597" s="138" t="s">
        <v>781</v>
      </c>
      <c r="B597" s="138" t="s">
        <v>774</v>
      </c>
    </row>
    <row r="598" spans="1:4" ht="15">
      <c r="A598" s="138" t="s">
        <v>774</v>
      </c>
      <c r="B598" s="138"/>
    </row>
    <row r="599" spans="1:4" ht="15">
      <c r="A599" s="138" t="s">
        <v>781</v>
      </c>
      <c r="B599" s="138" t="s">
        <v>774</v>
      </c>
    </row>
    <row r="600" spans="1:4" ht="15">
      <c r="A600" s="138" t="s">
        <v>774</v>
      </c>
      <c r="B600" s="138"/>
    </row>
    <row r="601" spans="1:4" ht="15">
      <c r="A601" s="138" t="s">
        <v>781</v>
      </c>
      <c r="B601" s="138"/>
    </row>
    <row r="602" spans="1:4" ht="15">
      <c r="A602" s="138" t="s">
        <v>882</v>
      </c>
      <c r="B602" s="138" t="s">
        <v>774</v>
      </c>
    </row>
    <row r="603" spans="1:4" ht="15">
      <c r="A603" s="138" t="s">
        <v>774</v>
      </c>
      <c r="B603" s="138"/>
    </row>
    <row r="604" spans="1:4" ht="15">
      <c r="A604" s="138" t="s">
        <v>781</v>
      </c>
      <c r="B604" s="138" t="s">
        <v>774</v>
      </c>
    </row>
    <row r="605" spans="1:4" ht="15">
      <c r="A605" s="138" t="s">
        <v>774</v>
      </c>
      <c r="B605" s="138"/>
    </row>
    <row r="606" spans="1:4" ht="15">
      <c r="A606" s="138" t="s">
        <v>781</v>
      </c>
      <c r="B606" s="138" t="s">
        <v>774</v>
      </c>
    </row>
    <row r="607" spans="1:4" ht="15">
      <c r="A607" s="138" t="s">
        <v>774</v>
      </c>
      <c r="B607" s="138"/>
    </row>
    <row r="608" spans="1:4" ht="15">
      <c r="A608" s="138" t="s">
        <v>781</v>
      </c>
      <c r="B608" s="138"/>
      <c r="C608" s="138"/>
      <c r="D608" s="138"/>
    </row>
    <row r="609" spans="1:12" ht="15">
      <c r="A609" s="138" t="s">
        <v>883</v>
      </c>
      <c r="B609" s="138" t="s">
        <v>884</v>
      </c>
      <c r="C609" s="138"/>
      <c r="D609" s="138"/>
    </row>
    <row r="610" spans="1:12" ht="15">
      <c r="A610" s="138" t="s">
        <v>774</v>
      </c>
      <c r="B610" s="138"/>
      <c r="C610" s="138"/>
      <c r="D610" s="138"/>
    </row>
    <row r="611" spans="1:12" ht="15">
      <c r="A611" s="138" t="s">
        <v>885</v>
      </c>
      <c r="B611" s="138" t="s">
        <v>886</v>
      </c>
      <c r="C611" s="138"/>
      <c r="D611" s="138"/>
    </row>
    <row r="612" spans="1:12" ht="15">
      <c r="A612" s="138" t="s">
        <v>774</v>
      </c>
      <c r="B612" s="138"/>
      <c r="C612" s="138"/>
      <c r="D612" s="138"/>
    </row>
    <row r="613" spans="1:12" ht="15">
      <c r="A613" s="138" t="s">
        <v>887</v>
      </c>
      <c r="B613" s="138" t="s">
        <v>888</v>
      </c>
      <c r="C613" s="138"/>
      <c r="D613" s="138"/>
    </row>
    <row r="614" spans="1:12" ht="15">
      <c r="A614" s="138" t="s">
        <v>774</v>
      </c>
      <c r="B614" s="138"/>
      <c r="C614" s="138"/>
      <c r="D614" s="138"/>
    </row>
    <row r="615" spans="1:12" ht="15">
      <c r="A615" s="138" t="s">
        <v>889</v>
      </c>
      <c r="B615" s="138"/>
      <c r="C615" s="138"/>
      <c r="D615" s="138"/>
    </row>
    <row r="616" spans="1:12" ht="15">
      <c r="A616" s="138" t="s">
        <v>890</v>
      </c>
      <c r="B616" s="138"/>
      <c r="C616" s="138"/>
      <c r="D616" s="138"/>
    </row>
    <row r="617" spans="1:12" ht="15">
      <c r="A617" s="138" t="s">
        <v>891</v>
      </c>
      <c r="B617" s="138" t="s">
        <v>892</v>
      </c>
      <c r="C617" s="138"/>
      <c r="D617" s="138"/>
    </row>
    <row r="618" spans="1:12" ht="15">
      <c r="A618" s="138" t="s">
        <v>893</v>
      </c>
      <c r="B618" s="138" t="s">
        <v>894</v>
      </c>
      <c r="C618" s="138"/>
      <c r="D618" s="138"/>
    </row>
    <row r="619" spans="1:12" ht="15">
      <c r="A619" s="138" t="s">
        <v>895</v>
      </c>
      <c r="B619" s="138" t="s">
        <v>896</v>
      </c>
      <c r="C619" s="138"/>
      <c r="D619" s="138"/>
    </row>
    <row r="620" spans="1:12" ht="15">
      <c r="A620" s="138" t="s">
        <v>897</v>
      </c>
      <c r="B620" s="138"/>
      <c r="C620" s="138"/>
      <c r="D620" s="138"/>
    </row>
    <row r="621" spans="1:12" ht="15">
      <c r="A621" s="138" t="s">
        <v>898</v>
      </c>
      <c r="B621" s="138" t="s">
        <v>899</v>
      </c>
      <c r="C621" s="138" t="s">
        <v>900</v>
      </c>
      <c r="D621" s="138" t="s">
        <v>901</v>
      </c>
    </row>
    <row r="622" spans="1:12" ht="15">
      <c r="A622" s="138" t="s">
        <v>902</v>
      </c>
      <c r="B622" s="138"/>
      <c r="C622" s="138"/>
      <c r="D622" s="138"/>
    </row>
    <row r="623" spans="1:12" ht="15">
      <c r="A623" s="138" t="s">
        <v>903</v>
      </c>
      <c r="B623" s="138"/>
      <c r="C623" s="138"/>
      <c r="D623" s="138"/>
    </row>
    <row r="624" spans="1:12" ht="15">
      <c r="A624" s="138" t="s">
        <v>904</v>
      </c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</row>
    <row r="625" spans="1:12" ht="15">
      <c r="A625" s="138" t="s">
        <v>905</v>
      </c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</row>
    <row r="626" spans="1:12" ht="15">
      <c r="A626" s="138" t="s">
        <v>906</v>
      </c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</row>
    <row r="627" spans="1:12" ht="15">
      <c r="A627" s="138" t="s">
        <v>907</v>
      </c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</row>
    <row r="628" spans="1:12" ht="15">
      <c r="A628" s="138" t="s">
        <v>908</v>
      </c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</row>
    <row r="629" spans="1:12" ht="15">
      <c r="A629" s="138" t="s">
        <v>909</v>
      </c>
      <c r="B629" s="138" t="s">
        <v>910</v>
      </c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</row>
    <row r="630" spans="1:12" ht="15">
      <c r="A630" s="138" t="s">
        <v>911</v>
      </c>
      <c r="B630" s="138" t="s">
        <v>912</v>
      </c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</row>
    <row r="631" spans="1:12" ht="15">
      <c r="A631" s="138" t="s">
        <v>913</v>
      </c>
      <c r="B631" s="138" t="s">
        <v>914</v>
      </c>
      <c r="C631" s="138" t="s">
        <v>915</v>
      </c>
      <c r="D631" s="138"/>
      <c r="E631" s="138"/>
      <c r="F631" s="138"/>
      <c r="G631" s="138"/>
      <c r="H631" s="138"/>
      <c r="I631" s="138"/>
      <c r="J631" s="138"/>
      <c r="K631" s="138"/>
      <c r="L631" s="138"/>
    </row>
    <row r="632" spans="1:12" ht="15">
      <c r="A632" s="138" t="s">
        <v>913</v>
      </c>
      <c r="B632" s="138" t="s">
        <v>914</v>
      </c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</row>
    <row r="633" spans="1:12" ht="15">
      <c r="A633" s="138"/>
      <c r="B633" s="138" t="s">
        <v>916</v>
      </c>
      <c r="C633" s="138" t="s">
        <v>917</v>
      </c>
      <c r="D633" s="138" t="s">
        <v>918</v>
      </c>
      <c r="E633" s="138" t="s">
        <v>919</v>
      </c>
      <c r="F633" s="138" t="s">
        <v>920</v>
      </c>
      <c r="G633" s="138" t="s">
        <v>921</v>
      </c>
      <c r="H633" s="138" t="s">
        <v>922</v>
      </c>
      <c r="I633" s="138" t="s">
        <v>919</v>
      </c>
      <c r="J633" s="138" t="s">
        <v>920</v>
      </c>
      <c r="K633" s="138" t="s">
        <v>921</v>
      </c>
      <c r="L633" s="138" t="s">
        <v>922</v>
      </c>
    </row>
    <row r="634" spans="1:12" ht="15">
      <c r="A634" s="138" t="s">
        <v>923</v>
      </c>
      <c r="B634" s="138">
        <v>3</v>
      </c>
      <c r="C634" s="138">
        <v>3.2</v>
      </c>
      <c r="D634" s="138">
        <v>0.29299999999999998</v>
      </c>
      <c r="E634" s="138" t="s">
        <v>774</v>
      </c>
      <c r="F634" s="138" t="s">
        <v>774</v>
      </c>
      <c r="G634" s="138" t="s">
        <v>774</v>
      </c>
      <c r="H634" s="138" t="s">
        <v>774</v>
      </c>
      <c r="I634" s="138" t="s">
        <v>774</v>
      </c>
      <c r="J634" s="138" t="s">
        <v>774</v>
      </c>
      <c r="K634" s="138" t="s">
        <v>774</v>
      </c>
      <c r="L634" s="138" t="s">
        <v>774</v>
      </c>
    </row>
    <row r="635" spans="1:12" ht="15">
      <c r="A635" s="138" t="s">
        <v>924</v>
      </c>
      <c r="B635" s="138">
        <v>1</v>
      </c>
      <c r="C635" s="138">
        <v>1.1000000000000001</v>
      </c>
      <c r="D635" s="138">
        <v>0</v>
      </c>
      <c r="E635" s="138">
        <v>65.2</v>
      </c>
      <c r="F635" s="138">
        <v>65.2</v>
      </c>
      <c r="G635" s="138">
        <v>71.7</v>
      </c>
      <c r="H635" s="138" t="s">
        <v>774</v>
      </c>
      <c r="I635" s="138">
        <v>30.5</v>
      </c>
      <c r="J635" s="138">
        <v>30.5</v>
      </c>
      <c r="K635" s="138">
        <v>33.6</v>
      </c>
      <c r="L635" s="138" t="s">
        <v>774</v>
      </c>
    </row>
    <row r="636" spans="1:12" ht="15">
      <c r="A636" s="138" t="s">
        <v>925</v>
      </c>
      <c r="B636" s="138">
        <v>65.2</v>
      </c>
      <c r="C636" s="138">
        <v>65.2</v>
      </c>
      <c r="D636" s="138">
        <v>71.7</v>
      </c>
      <c r="E636" s="138" t="s">
        <v>774</v>
      </c>
      <c r="F636" s="138">
        <v>30.5</v>
      </c>
      <c r="G636" s="138">
        <v>30.5</v>
      </c>
      <c r="H636" s="138">
        <v>33.6</v>
      </c>
      <c r="I636" s="138" t="s">
        <v>774</v>
      </c>
      <c r="J636" s="138"/>
      <c r="K636" s="138"/>
      <c r="L636" s="138"/>
    </row>
    <row r="637" spans="1:12" ht="15">
      <c r="A637" s="138" t="s">
        <v>926</v>
      </c>
      <c r="B637" s="138" t="s">
        <v>910</v>
      </c>
      <c r="C637" s="138" t="s">
        <v>927</v>
      </c>
      <c r="D637" s="138" t="s">
        <v>928</v>
      </c>
      <c r="E637" s="138"/>
      <c r="F637" s="138"/>
      <c r="G637" s="138"/>
      <c r="H637" s="138"/>
      <c r="I637" s="138"/>
      <c r="J637" s="138"/>
      <c r="K637" s="138"/>
      <c r="L637" s="138"/>
    </row>
    <row r="638" spans="1:12" ht="15">
      <c r="A638" s="138" t="s">
        <v>929</v>
      </c>
      <c r="B638" s="138" t="s">
        <v>930</v>
      </c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</row>
    <row r="639" spans="1:12" ht="15">
      <c r="A639" s="138" t="s">
        <v>931</v>
      </c>
      <c r="B639" s="138" t="s">
        <v>932</v>
      </c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</row>
    <row r="640" spans="1:12" ht="15">
      <c r="A640" s="138" t="s">
        <v>933</v>
      </c>
      <c r="B640" s="138" t="s">
        <v>914</v>
      </c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</row>
    <row r="641" spans="1:12" ht="15">
      <c r="A641" s="138" t="s">
        <v>934</v>
      </c>
      <c r="B641" s="138" t="e">
        <v>#NAME?</v>
      </c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</row>
    <row r="642" spans="1:12" ht="15">
      <c r="A642" s="138" t="s">
        <v>935</v>
      </c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</row>
    <row r="643" spans="1:12" ht="15">
      <c r="A643" s="138" t="s">
        <v>923</v>
      </c>
      <c r="B643" s="138">
        <v>3</v>
      </c>
      <c r="C643" s="138">
        <v>3.2</v>
      </c>
      <c r="D643" s="138">
        <v>0.29299999999999998</v>
      </c>
      <c r="E643" s="138">
        <v>23</v>
      </c>
      <c r="F643" s="138">
        <v>69.099999999999994</v>
      </c>
      <c r="G643" s="138">
        <v>73.7</v>
      </c>
      <c r="H643" s="138">
        <v>6.8</v>
      </c>
      <c r="I643" s="138">
        <v>2.2999999999999998</v>
      </c>
      <c r="J643" s="138">
        <v>6.9</v>
      </c>
      <c r="K643" s="138">
        <v>7.3</v>
      </c>
      <c r="L643" s="138">
        <v>0.7</v>
      </c>
    </row>
    <row r="644" spans="1:12" ht="15">
      <c r="A644" s="138" t="s">
        <v>924</v>
      </c>
      <c r="B644" s="138">
        <v>1</v>
      </c>
      <c r="C644" s="138">
        <v>1.1000000000000001</v>
      </c>
      <c r="D644" s="138">
        <v>0</v>
      </c>
      <c r="E644" s="138" t="s">
        <v>774</v>
      </c>
      <c r="F644" s="138" t="s">
        <v>774</v>
      </c>
      <c r="G644" s="138" t="s">
        <v>774</v>
      </c>
      <c r="H644" s="138" t="s">
        <v>774</v>
      </c>
      <c r="I644" s="138" t="s">
        <v>774</v>
      </c>
      <c r="J644" s="138" t="s">
        <v>774</v>
      </c>
      <c r="K644" s="138" t="s">
        <v>774</v>
      </c>
      <c r="L644" s="138" t="s">
        <v>774</v>
      </c>
    </row>
    <row r="645" spans="1:12" ht="15">
      <c r="A645" s="138" t="s">
        <v>936</v>
      </c>
      <c r="B645" s="138">
        <v>3</v>
      </c>
      <c r="C645" s="138">
        <v>3.2</v>
      </c>
      <c r="D645" s="138">
        <v>0.62</v>
      </c>
      <c r="E645" s="138">
        <v>0.2</v>
      </c>
      <c r="F645" s="138">
        <v>0.7</v>
      </c>
      <c r="G645" s="138">
        <v>0.8</v>
      </c>
      <c r="H645" s="138">
        <v>0.1</v>
      </c>
      <c r="I645" s="138" t="s">
        <v>774</v>
      </c>
      <c r="J645" s="138" t="s">
        <v>774</v>
      </c>
      <c r="K645" s="138" t="s">
        <v>774</v>
      </c>
      <c r="L645" s="138" t="s">
        <v>774</v>
      </c>
    </row>
    <row r="646" spans="1:12" ht="15">
      <c r="A646" s="138" t="s">
        <v>925</v>
      </c>
      <c r="B646" s="138">
        <v>23.3</v>
      </c>
      <c r="C646" s="138">
        <v>69.8</v>
      </c>
      <c r="D646" s="138">
        <v>74.5</v>
      </c>
      <c r="E646" s="138">
        <v>6.9</v>
      </c>
      <c r="F646" s="138">
        <v>2.2999999999999998</v>
      </c>
      <c r="G646" s="138">
        <v>6.9</v>
      </c>
      <c r="H646" s="138">
        <v>7.3</v>
      </c>
      <c r="I646" s="138">
        <v>0.7</v>
      </c>
      <c r="J646" s="138"/>
      <c r="K646" s="138"/>
      <c r="L646" s="138"/>
    </row>
    <row r="647" spans="1:12" ht="15">
      <c r="A647" s="138" t="s">
        <v>909</v>
      </c>
      <c r="B647" s="138" t="s">
        <v>910</v>
      </c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</row>
    <row r="648" spans="1:12" ht="15">
      <c r="A648" s="138" t="s">
        <v>911</v>
      </c>
      <c r="B648" s="138" t="s">
        <v>937</v>
      </c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</row>
    <row r="649" spans="1:12" ht="15">
      <c r="A649" s="138" t="s">
        <v>913</v>
      </c>
      <c r="B649" s="138" t="s">
        <v>914</v>
      </c>
      <c r="C649" s="138" t="s">
        <v>938</v>
      </c>
      <c r="D649" s="138"/>
      <c r="E649" s="138"/>
      <c r="F649" s="138"/>
      <c r="G649" s="138"/>
      <c r="H649" s="138"/>
      <c r="I649" s="138"/>
      <c r="J649" s="138"/>
      <c r="K649" s="138"/>
      <c r="L649" s="138"/>
    </row>
    <row r="650" spans="1:12" ht="15">
      <c r="A650" s="138" t="s">
        <v>913</v>
      </c>
      <c r="B650" s="138" t="s">
        <v>914</v>
      </c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</row>
    <row r="651" spans="1:12" ht="15">
      <c r="A651" s="138"/>
      <c r="B651" s="138" t="s">
        <v>916</v>
      </c>
      <c r="C651" s="138" t="s">
        <v>917</v>
      </c>
      <c r="D651" s="138" t="s">
        <v>918</v>
      </c>
      <c r="E651" s="138" t="s">
        <v>919</v>
      </c>
      <c r="F651" s="138" t="s">
        <v>920</v>
      </c>
      <c r="G651" s="138" t="s">
        <v>921</v>
      </c>
      <c r="H651" s="138" t="s">
        <v>922</v>
      </c>
      <c r="I651" s="138" t="s">
        <v>919</v>
      </c>
      <c r="J651" s="138" t="s">
        <v>920</v>
      </c>
      <c r="K651" s="138" t="s">
        <v>921</v>
      </c>
      <c r="L651" s="138" t="s">
        <v>922</v>
      </c>
    </row>
    <row r="652" spans="1:12" ht="15">
      <c r="A652" s="138" t="s">
        <v>923</v>
      </c>
      <c r="B652" s="138">
        <v>3</v>
      </c>
      <c r="C652" s="138">
        <v>3.2</v>
      </c>
      <c r="D652" s="138">
        <v>0.29299999999999998</v>
      </c>
      <c r="E652" s="138" t="s">
        <v>774</v>
      </c>
      <c r="F652" s="138" t="s">
        <v>774</v>
      </c>
      <c r="G652" s="138" t="s">
        <v>774</v>
      </c>
      <c r="H652" s="138" t="s">
        <v>774</v>
      </c>
      <c r="I652" s="138" t="s">
        <v>774</v>
      </c>
      <c r="J652" s="138" t="s">
        <v>774</v>
      </c>
      <c r="K652" s="138" t="s">
        <v>774</v>
      </c>
      <c r="L652" s="138" t="s">
        <v>774</v>
      </c>
    </row>
    <row r="653" spans="1:12" ht="15">
      <c r="A653" s="138" t="s">
        <v>924</v>
      </c>
      <c r="B653" s="138">
        <v>1</v>
      </c>
      <c r="C653" s="138">
        <v>1.1000000000000001</v>
      </c>
      <c r="D653" s="138">
        <v>0</v>
      </c>
      <c r="E653" s="138" t="s">
        <v>774</v>
      </c>
      <c r="F653" s="138" t="s">
        <v>774</v>
      </c>
      <c r="G653" s="138" t="s">
        <v>774</v>
      </c>
      <c r="H653" s="138" t="s">
        <v>774</v>
      </c>
      <c r="I653" s="138" t="s">
        <v>774</v>
      </c>
      <c r="J653" s="138" t="s">
        <v>774</v>
      </c>
      <c r="K653" s="138" t="s">
        <v>774</v>
      </c>
      <c r="L653" s="138" t="s">
        <v>774</v>
      </c>
    </row>
    <row r="654" spans="1:12" ht="15">
      <c r="A654" s="138" t="s">
        <v>936</v>
      </c>
      <c r="B654" s="138">
        <v>3</v>
      </c>
      <c r="C654" s="138">
        <v>3.2</v>
      </c>
      <c r="D654" s="138">
        <v>0.62</v>
      </c>
      <c r="E654" s="138" t="s">
        <v>774</v>
      </c>
      <c r="F654" s="138" t="s">
        <v>774</v>
      </c>
      <c r="G654" s="138" t="s">
        <v>774</v>
      </c>
      <c r="H654" s="138" t="s">
        <v>774</v>
      </c>
      <c r="I654" s="138" t="s">
        <v>774</v>
      </c>
      <c r="J654" s="138" t="s">
        <v>774</v>
      </c>
      <c r="K654" s="138" t="s">
        <v>774</v>
      </c>
      <c r="L654" s="138" t="s">
        <v>774</v>
      </c>
    </row>
    <row r="655" spans="1:12" ht="15">
      <c r="A655" s="138" t="s">
        <v>925</v>
      </c>
      <c r="B655" s="138" t="s">
        <v>774</v>
      </c>
      <c r="C655" s="138" t="s">
        <v>774</v>
      </c>
      <c r="D655" s="138" t="s">
        <v>774</v>
      </c>
      <c r="E655" s="138" t="s">
        <v>774</v>
      </c>
      <c r="F655" s="138" t="s">
        <v>774</v>
      </c>
      <c r="G655" s="138" t="s">
        <v>774</v>
      </c>
      <c r="H655" s="138" t="s">
        <v>774</v>
      </c>
      <c r="I655" s="138" t="s">
        <v>774</v>
      </c>
      <c r="J655" s="138"/>
      <c r="K655" s="138"/>
      <c r="L655" s="138"/>
    </row>
    <row r="656" spans="1:12" ht="15">
      <c r="A656" s="138" t="s">
        <v>909</v>
      </c>
      <c r="B656" s="138" t="s">
        <v>910</v>
      </c>
      <c r="C656" s="138"/>
      <c r="D656" s="138"/>
      <c r="E656" s="138"/>
      <c r="F656" s="138"/>
      <c r="G656" s="138"/>
      <c r="H656" s="138"/>
      <c r="I656" s="138"/>
      <c r="J656" s="138"/>
      <c r="K656" s="138"/>
    </row>
    <row r="657" spans="1:11" ht="15">
      <c r="A657" s="138" t="s">
        <v>911</v>
      </c>
      <c r="B657" s="138" t="s">
        <v>939</v>
      </c>
      <c r="C657" s="138"/>
      <c r="D657" s="138"/>
      <c r="E657" s="138"/>
      <c r="F657" s="138"/>
      <c r="G657" s="138"/>
      <c r="H657" s="138"/>
      <c r="I657" s="138"/>
      <c r="J657" s="138"/>
      <c r="K657" s="138"/>
    </row>
    <row r="658" spans="1:11" ht="15">
      <c r="A658" s="138" t="s">
        <v>913</v>
      </c>
      <c r="B658" s="138" t="s">
        <v>914</v>
      </c>
      <c r="C658" s="138" t="s">
        <v>940</v>
      </c>
      <c r="D658" s="138"/>
      <c r="E658" s="138"/>
      <c r="F658" s="138"/>
      <c r="G658" s="138"/>
      <c r="H658" s="138"/>
      <c r="I658" s="138"/>
      <c r="J658" s="138"/>
      <c r="K658" s="138"/>
    </row>
    <row r="659" spans="1:11" ht="15">
      <c r="A659" s="138" t="s">
        <v>941</v>
      </c>
      <c r="B659" s="138" t="s">
        <v>942</v>
      </c>
      <c r="C659" s="138"/>
      <c r="D659" s="138"/>
      <c r="E659" s="138"/>
      <c r="F659" s="138"/>
      <c r="G659" s="138"/>
      <c r="H659" s="138"/>
      <c r="I659" s="138"/>
      <c r="J659" s="138"/>
      <c r="K659" s="138"/>
    </row>
    <row r="660" spans="1:11" ht="15">
      <c r="A660" s="138"/>
      <c r="B660" s="138" t="s">
        <v>916</v>
      </c>
      <c r="C660" s="138" t="s">
        <v>917</v>
      </c>
      <c r="D660" s="138" t="s">
        <v>918</v>
      </c>
      <c r="E660" s="138" t="s">
        <v>919</v>
      </c>
      <c r="F660" s="138" t="s">
        <v>920</v>
      </c>
      <c r="G660" s="138" t="s">
        <v>921</v>
      </c>
      <c r="H660" s="138" t="s">
        <v>922</v>
      </c>
      <c r="I660" s="138" t="s">
        <v>943</v>
      </c>
      <c r="J660" s="138" t="s">
        <v>920</v>
      </c>
      <c r="K660" s="138" t="s">
        <v>921</v>
      </c>
    </row>
    <row r="661" spans="1:11" ht="15">
      <c r="A661" s="138" t="s">
        <v>923</v>
      </c>
      <c r="B661" s="138">
        <v>3</v>
      </c>
      <c r="C661" s="138">
        <v>3.2</v>
      </c>
      <c r="D661" s="138">
        <v>0.29299999999999998</v>
      </c>
      <c r="E661" s="138" t="s">
        <v>774</v>
      </c>
      <c r="F661" s="138" t="s">
        <v>774</v>
      </c>
      <c r="G661" s="138" t="s">
        <v>774</v>
      </c>
      <c r="H661" s="138" t="s">
        <v>774</v>
      </c>
      <c r="I661" s="138"/>
      <c r="J661" s="138"/>
      <c r="K661" s="138"/>
    </row>
    <row r="662" spans="1:11" ht="15">
      <c r="A662" s="138" t="s">
        <v>924</v>
      </c>
      <c r="B662" s="138">
        <v>1</v>
      </c>
      <c r="C662" s="138">
        <v>1.1000000000000001</v>
      </c>
      <c r="D662" s="138">
        <v>0</v>
      </c>
      <c r="E662" s="138" t="s">
        <v>774</v>
      </c>
      <c r="F662" s="138" t="s">
        <v>774</v>
      </c>
      <c r="G662" s="138" t="s">
        <v>774</v>
      </c>
      <c r="H662" s="138" t="s">
        <v>774</v>
      </c>
      <c r="I662" s="138"/>
      <c r="J662" s="138"/>
      <c r="K662" s="138"/>
    </row>
    <row r="663" spans="1:11" ht="15">
      <c r="A663" s="138" t="s">
        <v>925</v>
      </c>
      <c r="B663" s="138" t="s">
        <v>774</v>
      </c>
      <c r="C663" s="138" t="s">
        <v>774</v>
      </c>
      <c r="D663" s="138" t="s">
        <v>774</v>
      </c>
      <c r="E663" s="138" t="s">
        <v>774</v>
      </c>
      <c r="F663" s="138"/>
      <c r="G663" s="138"/>
      <c r="H663" s="138"/>
      <c r="I663" s="138"/>
      <c r="J663" s="138"/>
      <c r="K663" s="138"/>
    </row>
    <row r="664" spans="1:11" ht="15">
      <c r="A664" s="138" t="s">
        <v>944</v>
      </c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</row>
    <row r="665" spans="1:11" ht="15">
      <c r="A665" s="138" t="s">
        <v>945</v>
      </c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</row>
    <row r="666" spans="1:11" ht="15">
      <c r="A666" s="138" t="s">
        <v>946</v>
      </c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</row>
    <row r="667" spans="1:11" ht="15">
      <c r="A667" s="138" t="s">
        <v>947</v>
      </c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</row>
    <row r="668" spans="1:11" ht="15">
      <c r="A668" s="138" t="s">
        <v>923</v>
      </c>
      <c r="B668" s="138">
        <v>25.338000000000001</v>
      </c>
      <c r="C668" s="138">
        <v>76.013000000000005</v>
      </c>
      <c r="D668" s="138">
        <v>81.08</v>
      </c>
      <c r="E668" s="138">
        <v>7.4240000000000004</v>
      </c>
      <c r="F668" s="138"/>
      <c r="G668" s="138"/>
      <c r="H668" s="138"/>
      <c r="I668" s="138"/>
      <c r="J668" s="138"/>
      <c r="K668" s="138"/>
    </row>
    <row r="669" spans="1:11" ht="15">
      <c r="A669" s="138" t="s">
        <v>948</v>
      </c>
      <c r="B669" s="138">
        <v>95.736000000000004</v>
      </c>
      <c r="C669" s="138">
        <v>95.736000000000004</v>
      </c>
      <c r="D669" s="138">
        <v>105.309</v>
      </c>
      <c r="E669" s="138" t="s">
        <v>774</v>
      </c>
      <c r="F669" s="138"/>
      <c r="G669" s="138"/>
      <c r="H669" s="138"/>
      <c r="I669" s="138"/>
      <c r="J669" s="138"/>
      <c r="K669" s="138"/>
    </row>
    <row r="670" spans="1:11" ht="15">
      <c r="A670" s="138" t="s">
        <v>936</v>
      </c>
      <c r="B670" s="138">
        <v>0.24099999999999999</v>
      </c>
      <c r="C670" s="138">
        <v>0.72199999999999998</v>
      </c>
      <c r="D670" s="138">
        <v>0.77</v>
      </c>
      <c r="E670" s="138">
        <v>0.14899999999999999</v>
      </c>
      <c r="F670" s="138"/>
      <c r="G670" s="138"/>
      <c r="H670" s="138"/>
      <c r="I670" s="138"/>
      <c r="J670" s="138"/>
      <c r="K670" s="138"/>
    </row>
    <row r="671" spans="1:11" ht="15">
      <c r="A671" s="138" t="s">
        <v>925</v>
      </c>
      <c r="B671" s="138">
        <v>121.31399999999999</v>
      </c>
      <c r="C671" s="138">
        <v>172.471</v>
      </c>
      <c r="D671" s="138">
        <v>187.16</v>
      </c>
      <c r="E671" s="138">
        <v>7.5730000000000004</v>
      </c>
      <c r="F671" s="138"/>
      <c r="G671" s="138"/>
      <c r="H671" s="138"/>
      <c r="I671" s="138"/>
      <c r="J671" s="138"/>
      <c r="K671" s="138"/>
    </row>
    <row r="672" spans="1:11" ht="15">
      <c r="A672" s="138" t="s">
        <v>949</v>
      </c>
      <c r="B672" s="138"/>
    </row>
    <row r="673" spans="1:2" ht="15">
      <c r="A673" s="138" t="s">
        <v>950</v>
      </c>
      <c r="B673" s="138"/>
    </row>
    <row r="674" spans="1:2" ht="15">
      <c r="A674" s="138" t="s">
        <v>951</v>
      </c>
      <c r="B674" s="138"/>
    </row>
    <row r="675" spans="1:2" ht="15">
      <c r="A675" s="138" t="s">
        <v>952</v>
      </c>
      <c r="B675" s="138" t="s">
        <v>953</v>
      </c>
    </row>
    <row r="676" spans="1:2" ht="15">
      <c r="A676" s="138" t="s">
        <v>954</v>
      </c>
      <c r="B676" s="138"/>
    </row>
    <row r="677" spans="1:2" ht="15">
      <c r="A677" s="138" t="s">
        <v>955</v>
      </c>
      <c r="B677" s="138" t="s">
        <v>956</v>
      </c>
    </row>
    <row r="678" spans="1:2" ht="15">
      <c r="A678" s="138" t="s">
        <v>957</v>
      </c>
      <c r="B678" s="138" t="s">
        <v>958</v>
      </c>
    </row>
    <row r="679" spans="1:2" ht="15">
      <c r="A679" s="138" t="s">
        <v>959</v>
      </c>
      <c r="B679" s="138"/>
    </row>
    <row r="680" spans="1:2" ht="15">
      <c r="A680" s="138" t="s">
        <v>960</v>
      </c>
      <c r="B680" s="138" t="s">
        <v>961</v>
      </c>
    </row>
    <row r="681" spans="1:2" ht="15">
      <c r="A681" s="138" t="s">
        <v>962</v>
      </c>
      <c r="B681" s="138" t="s">
        <v>963</v>
      </c>
    </row>
    <row r="682" spans="1:2" ht="15">
      <c r="A682" s="138" t="s">
        <v>964</v>
      </c>
      <c r="B682" s="138" t="s">
        <v>965</v>
      </c>
    </row>
    <row r="683" spans="1:2" ht="15">
      <c r="A683" s="138" t="s">
        <v>966</v>
      </c>
      <c r="B683" s="138" t="s">
        <v>967</v>
      </c>
    </row>
    <row r="684" spans="1:2" ht="15">
      <c r="A684" s="138" t="s">
        <v>968</v>
      </c>
      <c r="B684" s="138"/>
    </row>
    <row r="685" spans="1:2" ht="15">
      <c r="A685" s="138" t="s">
        <v>969</v>
      </c>
      <c r="B685" s="138"/>
    </row>
    <row r="686" spans="1:2" ht="15">
      <c r="A686" s="138" t="s">
        <v>970</v>
      </c>
      <c r="B686" s="138" t="s">
        <v>971</v>
      </c>
    </row>
    <row r="687" spans="1:2" ht="15">
      <c r="A687" s="138" t="s">
        <v>972</v>
      </c>
      <c r="B687" s="138"/>
    </row>
    <row r="688" spans="1:2" ht="15">
      <c r="A688" s="138" t="s">
        <v>973</v>
      </c>
      <c r="B688" s="138" t="s">
        <v>974</v>
      </c>
    </row>
  </sheetData>
  <hyperlinks>
    <hyperlink ref="E1" r:id="rId1"/>
    <hyperlink ref="AA1" r:id="rId2"/>
  </hyperlinks>
  <pageMargins left="0.7" right="0.7" top="0.78740157499999996" bottom="0.78740157499999996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V65"/>
  <sheetViews>
    <sheetView zoomScale="98" zoomScaleNormal="98" workbookViewId="0">
      <pane ySplit="3" topLeftCell="A4" activePane="bottomLeft" state="frozen"/>
      <selection pane="bottomLeft" activeCell="A3" sqref="A3"/>
    </sheetView>
  </sheetViews>
  <sheetFormatPr defaultRowHeight="15"/>
  <cols>
    <col min="1" max="4" width="9.140625" style="117"/>
    <col min="5" max="5" width="9.140625" style="117" customWidth="1"/>
    <col min="6" max="6" width="9.140625" style="117" hidden="1" customWidth="1"/>
    <col min="7" max="7" width="9.140625" style="117" customWidth="1"/>
    <col min="8" max="16384" width="9.140625" style="117"/>
  </cols>
  <sheetData>
    <row r="1" spans="1:20">
      <c r="A1" s="141">
        <f>SUM(C14:C26)</f>
        <v>99.6</v>
      </c>
      <c r="B1" s="141">
        <f>A1/13-A2/13</f>
        <v>-2.975563446564518</v>
      </c>
      <c r="D1" s="117" t="s">
        <v>494</v>
      </c>
      <c r="E1" s="2">
        <v>0.3</v>
      </c>
      <c r="F1" s="117">
        <v>21</v>
      </c>
      <c r="G1" s="2">
        <v>18</v>
      </c>
      <c r="H1" s="117" t="s">
        <v>493</v>
      </c>
      <c r="J1" s="110">
        <f>G1/30*1000</f>
        <v>600</v>
      </c>
      <c r="K1" s="110" t="s">
        <v>331</v>
      </c>
      <c r="M1" s="117" t="s">
        <v>499</v>
      </c>
      <c r="N1" s="117" t="s">
        <v>492</v>
      </c>
      <c r="S1" s="117">
        <f>740-80</f>
        <v>660</v>
      </c>
      <c r="T1" s="117" t="s">
        <v>500</v>
      </c>
    </row>
    <row r="2" spans="1:20">
      <c r="A2" s="141">
        <f>SUM(B14:B26)</f>
        <v>138.28232480533873</v>
      </c>
      <c r="B2" s="141" t="s">
        <v>1438</v>
      </c>
      <c r="C2" s="144">
        <v>-3</v>
      </c>
      <c r="D2" s="117" t="s">
        <v>28</v>
      </c>
      <c r="E2" s="2">
        <v>0.95</v>
      </c>
      <c r="F2" s="117">
        <v>15.8</v>
      </c>
      <c r="G2" s="2">
        <v>14</v>
      </c>
      <c r="H2" s="117" t="s">
        <v>6</v>
      </c>
      <c r="J2" s="69" t="s">
        <v>495</v>
      </c>
      <c r="S2" s="117" t="s">
        <v>501</v>
      </c>
    </row>
    <row r="3" spans="1:20">
      <c r="A3" s="141" t="s">
        <v>1530</v>
      </c>
      <c r="B3" s="117" t="s">
        <v>186</v>
      </c>
      <c r="C3" s="117" t="s">
        <v>491</v>
      </c>
      <c r="D3" s="117" t="s">
        <v>4</v>
      </c>
      <c r="E3" s="117" t="s">
        <v>490</v>
      </c>
      <c r="F3" s="117" t="s">
        <v>489</v>
      </c>
      <c r="G3" s="117" t="s">
        <v>489</v>
      </c>
      <c r="H3" s="117" t="s">
        <v>488</v>
      </c>
      <c r="J3" s="69" t="s">
        <v>421</v>
      </c>
      <c r="O3" s="141" t="s">
        <v>491</v>
      </c>
      <c r="P3" s="141" t="s">
        <v>1439</v>
      </c>
      <c r="S3" s="110"/>
      <c r="T3" s="110"/>
    </row>
    <row r="4" spans="1:20">
      <c r="A4" s="34">
        <v>43465</v>
      </c>
      <c r="B4" s="117">
        <v>2.980645161290076</v>
      </c>
      <c r="C4" s="141">
        <f t="shared" ref="C4:C12" si="0">B4+C$2</f>
        <v>-1.9354838709924049E-2</v>
      </c>
      <c r="E4" s="141" t="e">
        <f t="shared" ref="E4:E31" si="1">E$2*(D4*10.7/(A4-A3)/24)-E$1</f>
        <v>#VALUE!</v>
      </c>
      <c r="F4" s="117">
        <f t="shared" ref="F4:F27" si="2">IF(B4&lt;F$2,(F$2-B4)*F$1/30,0)</f>
        <v>8.9735483870969475</v>
      </c>
      <c r="G4" s="117">
        <f t="shared" ref="G4:G32" si="3">IF(C4&lt;G$2,(G$2-C4)*G$1/30,0)</f>
        <v>8.4116129032259543</v>
      </c>
      <c r="J4" s="146" t="s">
        <v>1440</v>
      </c>
      <c r="S4" s="117">
        <f>SUM(D13:D23)*10.7</f>
        <v>45357.299999999996</v>
      </c>
      <c r="T4" s="141" t="s">
        <v>1442</v>
      </c>
    </row>
    <row r="5" spans="1:20">
      <c r="A5" s="34">
        <v>43496</v>
      </c>
      <c r="B5" s="117">
        <v>0.16129032258052781</v>
      </c>
      <c r="C5" s="141">
        <f t="shared" si="0"/>
        <v>-2.8387096774194722</v>
      </c>
      <c r="E5" s="141">
        <f t="shared" si="1"/>
        <v>-0.3</v>
      </c>
      <c r="F5" s="117">
        <f t="shared" si="2"/>
        <v>10.94709677419363</v>
      </c>
      <c r="G5" s="117">
        <f t="shared" si="3"/>
        <v>10.103225806451684</v>
      </c>
      <c r="S5" s="117">
        <f>SUM(D23:D32)*10.7</f>
        <v>44158.899999999994</v>
      </c>
      <c r="T5" s="141" t="s">
        <v>1443</v>
      </c>
    </row>
    <row r="6" spans="1:20">
      <c r="A6" s="34">
        <v>43524</v>
      </c>
      <c r="B6" s="117">
        <v>2.7857142857143509</v>
      </c>
      <c r="C6" s="141">
        <f t="shared" si="0"/>
        <v>-0.21428571428564913</v>
      </c>
      <c r="E6" s="141">
        <f t="shared" si="1"/>
        <v>-0.3</v>
      </c>
      <c r="F6" s="117">
        <f t="shared" si="2"/>
        <v>9.109999999999955</v>
      </c>
      <c r="G6" s="117">
        <f t="shared" si="3"/>
        <v>8.5285714285713894</v>
      </c>
      <c r="J6" s="110" t="s">
        <v>496</v>
      </c>
      <c r="R6" s="117">
        <v>21</v>
      </c>
      <c r="S6" s="117" t="s">
        <v>514</v>
      </c>
    </row>
    <row r="7" spans="1:20">
      <c r="A7" s="34">
        <v>43555</v>
      </c>
      <c r="B7" s="117">
        <v>7.3999999999999293</v>
      </c>
      <c r="C7" s="141">
        <f t="shared" si="0"/>
        <v>4.3999999999999293</v>
      </c>
      <c r="E7" s="141">
        <f t="shared" si="1"/>
        <v>-0.3</v>
      </c>
      <c r="F7" s="117">
        <f t="shared" si="2"/>
        <v>5.8800000000000505</v>
      </c>
      <c r="G7" s="117">
        <f t="shared" si="3"/>
        <v>5.7600000000000424</v>
      </c>
      <c r="J7" s="110" t="s">
        <v>497</v>
      </c>
      <c r="R7" s="117">
        <v>14.2</v>
      </c>
      <c r="S7" s="138" t="s">
        <v>977</v>
      </c>
    </row>
    <row r="8" spans="1:20">
      <c r="A8" s="34">
        <v>43585</v>
      </c>
      <c r="B8" s="117">
        <v>10.726666666666764</v>
      </c>
      <c r="C8" s="141">
        <f t="shared" si="0"/>
        <v>7.7266666666667643</v>
      </c>
      <c r="E8" s="141">
        <f t="shared" si="1"/>
        <v>-0.3</v>
      </c>
      <c r="F8" s="117">
        <f t="shared" si="2"/>
        <v>3.5513333333332655</v>
      </c>
      <c r="G8" s="117">
        <f t="shared" si="3"/>
        <v>3.7639999999999412</v>
      </c>
      <c r="J8" s="143" t="s">
        <v>1441</v>
      </c>
      <c r="R8" s="117">
        <f>1000*G1/30</f>
        <v>600</v>
      </c>
      <c r="S8" s="117" t="s">
        <v>346</v>
      </c>
    </row>
    <row r="9" spans="1:20">
      <c r="A9" s="34">
        <v>43616</v>
      </c>
      <c r="B9" s="117">
        <v>12.003225806451448</v>
      </c>
      <c r="C9" s="141">
        <f t="shared" si="0"/>
        <v>9.0032258064514483</v>
      </c>
      <c r="E9" s="141">
        <f t="shared" si="1"/>
        <v>-0.3</v>
      </c>
      <c r="F9" s="117">
        <f t="shared" si="2"/>
        <v>2.6577419354839864</v>
      </c>
      <c r="G9" s="117">
        <f t="shared" si="3"/>
        <v>2.9980645161291313</v>
      </c>
      <c r="J9" s="117">
        <f>SUM(D16:D27)*10.7*E2</f>
        <v>42987.784999999996</v>
      </c>
      <c r="K9" s="117">
        <f>E1*24*365</f>
        <v>2627.9999999999995</v>
      </c>
      <c r="L9" s="117">
        <f>J9-K9</f>
        <v>40359.784999999996</v>
      </c>
      <c r="M9" s="110">
        <f>L9/24/G1</f>
        <v>93.425428240740729</v>
      </c>
      <c r="N9" s="110" t="s">
        <v>995</v>
      </c>
      <c r="R9" s="110">
        <f>(R6-R7)*R8/1000</f>
        <v>4.08</v>
      </c>
      <c r="S9" s="110" t="s">
        <v>515</v>
      </c>
    </row>
    <row r="10" spans="1:20">
      <c r="A10" s="34">
        <v>43646</v>
      </c>
      <c r="B10" s="117">
        <v>21.836666666666861</v>
      </c>
      <c r="C10" s="141">
        <f t="shared" si="0"/>
        <v>18.836666666666861</v>
      </c>
      <c r="E10" s="141">
        <f t="shared" si="1"/>
        <v>-0.3</v>
      </c>
      <c r="F10" s="117">
        <f t="shared" si="2"/>
        <v>0</v>
      </c>
      <c r="G10" s="117">
        <f t="shared" si="3"/>
        <v>0</v>
      </c>
      <c r="R10" s="117">
        <v>40000</v>
      </c>
      <c r="S10" s="141" t="s">
        <v>1088</v>
      </c>
    </row>
    <row r="11" spans="1:20">
      <c r="A11" s="34">
        <v>43677</v>
      </c>
      <c r="B11" s="117">
        <v>20.43870967741919</v>
      </c>
      <c r="C11" s="141">
        <f t="shared" si="0"/>
        <v>17.43870967741919</v>
      </c>
      <c r="E11" s="141">
        <f t="shared" si="1"/>
        <v>-0.3</v>
      </c>
      <c r="F11" s="117">
        <f t="shared" si="2"/>
        <v>0</v>
      </c>
      <c r="G11" s="117">
        <f t="shared" si="3"/>
        <v>0</v>
      </c>
      <c r="M11" s="110" t="s">
        <v>1001</v>
      </c>
      <c r="Q11" s="117">
        <v>4</v>
      </c>
      <c r="R11" s="117">
        <f>Q11*0.1*365*100</f>
        <v>14600</v>
      </c>
      <c r="S11" s="141" t="s">
        <v>1089</v>
      </c>
    </row>
    <row r="12" spans="1:20">
      <c r="A12" s="34">
        <v>43708</v>
      </c>
      <c r="B12" s="117">
        <v>20.251612903225784</v>
      </c>
      <c r="C12" s="141">
        <f t="shared" si="0"/>
        <v>17.251612903225784</v>
      </c>
      <c r="D12" s="141"/>
      <c r="E12" s="141">
        <f t="shared" si="1"/>
        <v>-0.3</v>
      </c>
      <c r="F12" s="117">
        <f t="shared" si="2"/>
        <v>0</v>
      </c>
      <c r="G12" s="117">
        <f t="shared" si="3"/>
        <v>0</v>
      </c>
      <c r="J12" s="117" t="s">
        <v>498</v>
      </c>
      <c r="K12" s="117" t="s">
        <v>512</v>
      </c>
      <c r="L12" s="138" t="s">
        <v>997</v>
      </c>
      <c r="M12" s="110" t="s">
        <v>998</v>
      </c>
      <c r="O12" s="141" t="s">
        <v>491</v>
      </c>
      <c r="P12" s="141" t="s">
        <v>1439</v>
      </c>
      <c r="Q12" s="141" t="s">
        <v>3</v>
      </c>
    </row>
    <row r="13" spans="1:20">
      <c r="A13" s="34">
        <v>43738</v>
      </c>
      <c r="B13" s="117">
        <v>14.953333333333164</v>
      </c>
      <c r="C13" s="141">
        <v>11.5</v>
      </c>
      <c r="D13" s="141">
        <v>145</v>
      </c>
      <c r="E13" s="141">
        <f t="shared" si="1"/>
        <v>1.7471180555555554</v>
      </c>
      <c r="F13" s="117">
        <f t="shared" si="2"/>
        <v>0.59266666666678536</v>
      </c>
      <c r="G13" s="117">
        <f t="shared" si="3"/>
        <v>1.5</v>
      </c>
      <c r="L13" s="138">
        <v>-3000</v>
      </c>
      <c r="M13" s="138"/>
      <c r="O13" s="141">
        <v>11.5</v>
      </c>
      <c r="Q13" s="141">
        <v>145</v>
      </c>
      <c r="S13" s="117">
        <f>SUM(J14:J27)/14</f>
        <v>-3.1096898670480178</v>
      </c>
      <c r="T13" s="117" t="s">
        <v>502</v>
      </c>
    </row>
    <row r="14" spans="1:20">
      <c r="A14" s="34">
        <v>43769</v>
      </c>
      <c r="B14" s="117">
        <v>10.574193548386956</v>
      </c>
      <c r="C14" s="141">
        <v>8.1999999999999993</v>
      </c>
      <c r="D14" s="141">
        <v>377</v>
      </c>
      <c r="E14" s="141">
        <f t="shared" si="1"/>
        <v>4.8508131720430105</v>
      </c>
      <c r="F14" s="117">
        <f t="shared" si="2"/>
        <v>3.658064516129131</v>
      </c>
      <c r="G14" s="117">
        <f t="shared" si="3"/>
        <v>3.48</v>
      </c>
      <c r="H14" s="117">
        <f t="shared" ref="H14:H27" si="4">I14/30</f>
        <v>3.8</v>
      </c>
      <c r="I14" s="117">
        <v>114</v>
      </c>
      <c r="J14" s="117">
        <f>C14-B14</f>
        <v>-2.3741935483869572</v>
      </c>
      <c r="K14" s="117">
        <f>E14-G14</f>
        <v>1.3708131720430106</v>
      </c>
      <c r="L14" s="117">
        <f>L13+(E14)*24*($A14-$A13)</f>
        <v>609.00499999999965</v>
      </c>
      <c r="M14" s="138">
        <f>M13+G14*24*($A14-$A13)</f>
        <v>2589.12</v>
      </c>
      <c r="O14" s="141">
        <v>8.1999999999999993</v>
      </c>
      <c r="P14" s="117">
        <f>C14</f>
        <v>8.1999999999999993</v>
      </c>
      <c r="Q14" s="141">
        <v>145</v>
      </c>
      <c r="S14" s="117">
        <f>S13/0.0065</f>
        <v>-478.41382569969505</v>
      </c>
      <c r="T14" s="117" t="s">
        <v>503</v>
      </c>
    </row>
    <row r="15" spans="1:20">
      <c r="A15" s="34">
        <v>43799</v>
      </c>
      <c r="B15" s="117">
        <v>6.2733333333332366</v>
      </c>
      <c r="C15" s="141">
        <v>4.5999999999999996</v>
      </c>
      <c r="D15" s="141">
        <v>600</v>
      </c>
      <c r="E15" s="141">
        <f t="shared" si="1"/>
        <v>8.1708333333333325</v>
      </c>
      <c r="F15" s="117">
        <f t="shared" si="2"/>
        <v>6.6686666666667342</v>
      </c>
      <c r="G15" s="117">
        <f t="shared" si="3"/>
        <v>5.6400000000000006</v>
      </c>
      <c r="H15" s="117">
        <f t="shared" si="4"/>
        <v>3.6666666666666665</v>
      </c>
      <c r="I15" s="117">
        <v>110</v>
      </c>
      <c r="J15" s="117">
        <f t="shared" ref="J15:J27" si="5">C15-B15</f>
        <v>-1.673333333333237</v>
      </c>
      <c r="K15" s="117">
        <f t="shared" ref="K15:K27" si="6">E15-G15</f>
        <v>2.5308333333333319</v>
      </c>
      <c r="L15" s="138">
        <f t="shared" ref="L15:L27" si="7">L14+(E15)*24*($A15-$A14)</f>
        <v>6492.0049999999992</v>
      </c>
      <c r="M15" s="138">
        <f t="shared" ref="M15:M27" si="8">M14+G15*24*($A15-$A14)</f>
        <v>6649.92</v>
      </c>
      <c r="O15" s="141">
        <v>4.5999999999999996</v>
      </c>
      <c r="P15" s="141">
        <f t="shared" ref="P15:P32" si="9">C15</f>
        <v>4.5999999999999996</v>
      </c>
      <c r="Q15" s="141">
        <v>377</v>
      </c>
      <c r="S15" s="110">
        <f>280+457</f>
        <v>737</v>
      </c>
      <c r="T15" s="110" t="s">
        <v>996</v>
      </c>
    </row>
    <row r="16" spans="1:20">
      <c r="A16" s="34">
        <v>43830</v>
      </c>
      <c r="B16" s="117">
        <v>3.0548387096770906</v>
      </c>
      <c r="C16" s="141">
        <v>0.4</v>
      </c>
      <c r="D16" s="141">
        <v>653</v>
      </c>
      <c r="E16" s="141">
        <f t="shared" si="1"/>
        <v>8.621700268817202</v>
      </c>
      <c r="F16" s="117">
        <f t="shared" si="2"/>
        <v>8.9216129032260376</v>
      </c>
      <c r="G16" s="117">
        <f t="shared" si="3"/>
        <v>8.16</v>
      </c>
      <c r="H16" s="117">
        <f t="shared" si="4"/>
        <v>1</v>
      </c>
      <c r="I16" s="117">
        <v>30</v>
      </c>
      <c r="J16" s="117">
        <f t="shared" si="5"/>
        <v>-2.6548387096770907</v>
      </c>
      <c r="K16" s="117">
        <f t="shared" si="6"/>
        <v>0.46170026881720183</v>
      </c>
      <c r="L16" s="138">
        <f t="shared" si="7"/>
        <v>12906.549999999997</v>
      </c>
      <c r="M16" s="138">
        <f t="shared" si="8"/>
        <v>12720.96</v>
      </c>
      <c r="O16" s="141">
        <v>0.4</v>
      </c>
      <c r="P16" s="141">
        <f t="shared" si="9"/>
        <v>0.4</v>
      </c>
      <c r="Q16" s="141">
        <v>600</v>
      </c>
      <c r="S16" s="117">
        <v>3.3</v>
      </c>
      <c r="T16" s="117" t="s">
        <v>504</v>
      </c>
    </row>
    <row r="17" spans="1:20">
      <c r="A17" s="34">
        <v>43861</v>
      </c>
      <c r="B17" s="117">
        <v>1.4935483870965161</v>
      </c>
      <c r="C17" s="141">
        <v>-0.9</v>
      </c>
      <c r="D17" s="141">
        <v>712</v>
      </c>
      <c r="E17" s="141">
        <f t="shared" si="1"/>
        <v>9.4277956989247311</v>
      </c>
      <c r="F17" s="117">
        <f t="shared" si="2"/>
        <v>10.01451612903244</v>
      </c>
      <c r="G17" s="117">
        <f t="shared" si="3"/>
        <v>8.94</v>
      </c>
      <c r="H17" s="117">
        <f t="shared" si="4"/>
        <v>0.6</v>
      </c>
      <c r="I17" s="117">
        <v>18</v>
      </c>
      <c r="J17" s="117">
        <f t="shared" si="5"/>
        <v>-2.3935483870965162</v>
      </c>
      <c r="K17" s="117">
        <f t="shared" si="6"/>
        <v>0.48779569892473162</v>
      </c>
      <c r="L17" s="138">
        <f t="shared" si="7"/>
        <v>19920.829999999998</v>
      </c>
      <c r="M17" s="138">
        <f t="shared" si="8"/>
        <v>19372.32</v>
      </c>
      <c r="O17" s="141">
        <v>-0.9</v>
      </c>
      <c r="P17" s="141">
        <f t="shared" si="9"/>
        <v>-0.9</v>
      </c>
      <c r="Q17" s="141">
        <v>653</v>
      </c>
    </row>
    <row r="18" spans="1:20">
      <c r="A18" s="34">
        <v>43890</v>
      </c>
      <c r="B18" s="117">
        <v>5.331034482758696</v>
      </c>
      <c r="C18" s="141">
        <v>1.5</v>
      </c>
      <c r="D18" s="141">
        <v>590</v>
      </c>
      <c r="E18" s="141">
        <f t="shared" si="1"/>
        <v>8.316882183908044</v>
      </c>
      <c r="F18" s="117">
        <f t="shared" si="2"/>
        <v>7.3282758620689128</v>
      </c>
      <c r="G18" s="117">
        <f t="shared" si="3"/>
        <v>7.5</v>
      </c>
      <c r="H18" s="117">
        <f t="shared" si="4"/>
        <v>0.96666666666666667</v>
      </c>
      <c r="I18" s="117">
        <v>29</v>
      </c>
      <c r="J18" s="117">
        <f t="shared" si="5"/>
        <v>-3.831034482758696</v>
      </c>
      <c r="K18" s="117">
        <f t="shared" si="6"/>
        <v>0.81688218390804401</v>
      </c>
      <c r="L18" s="138">
        <f t="shared" si="7"/>
        <v>25709.379999999997</v>
      </c>
      <c r="M18" s="138">
        <f t="shared" si="8"/>
        <v>24592.32</v>
      </c>
      <c r="O18" s="141">
        <v>1.5</v>
      </c>
      <c r="P18" s="141">
        <f t="shared" si="9"/>
        <v>1.5</v>
      </c>
      <c r="Q18" s="141">
        <v>712</v>
      </c>
    </row>
    <row r="19" spans="1:20">
      <c r="A19" s="34">
        <v>43921</v>
      </c>
      <c r="B19" s="117">
        <v>5.209677419354839</v>
      </c>
      <c r="C19" s="141">
        <v>2</v>
      </c>
      <c r="D19" s="141">
        <v>576</v>
      </c>
      <c r="E19" s="141">
        <f t="shared" si="1"/>
        <v>7.5696774193548375</v>
      </c>
      <c r="F19" s="117">
        <f t="shared" si="2"/>
        <v>7.4132258064516119</v>
      </c>
      <c r="G19" s="117">
        <f t="shared" si="3"/>
        <v>7.2</v>
      </c>
      <c r="H19" s="117">
        <f t="shared" si="4"/>
        <v>1</v>
      </c>
      <c r="I19" s="117">
        <v>30</v>
      </c>
      <c r="J19" s="117">
        <f t="shared" si="5"/>
        <v>-3.209677419354839</v>
      </c>
      <c r="K19" s="117">
        <f t="shared" si="6"/>
        <v>0.36967741935483733</v>
      </c>
      <c r="L19" s="138">
        <f t="shared" si="7"/>
        <v>31341.219999999994</v>
      </c>
      <c r="M19" s="138">
        <f t="shared" si="8"/>
        <v>29949.119999999999</v>
      </c>
      <c r="O19" s="141">
        <v>2</v>
      </c>
      <c r="P19" s="141">
        <f t="shared" si="9"/>
        <v>2</v>
      </c>
      <c r="Q19" s="141">
        <v>590</v>
      </c>
    </row>
    <row r="20" spans="1:20">
      <c r="A20" s="34">
        <v>43951</v>
      </c>
      <c r="B20" s="117">
        <v>10.563333333333503</v>
      </c>
      <c r="C20" s="141">
        <v>7.3</v>
      </c>
      <c r="D20" s="141">
        <v>280</v>
      </c>
      <c r="E20" s="141">
        <f t="shared" si="1"/>
        <v>3.6530555555555551</v>
      </c>
      <c r="F20" s="117">
        <f t="shared" si="2"/>
        <v>3.6656666666665481</v>
      </c>
      <c r="G20" s="117">
        <f t="shared" si="3"/>
        <v>4.0200000000000005</v>
      </c>
      <c r="H20" s="117">
        <f t="shared" si="4"/>
        <v>4.3</v>
      </c>
      <c r="I20" s="117">
        <v>129</v>
      </c>
      <c r="J20" s="117">
        <f t="shared" si="5"/>
        <v>-3.2633333333335033</v>
      </c>
      <c r="K20" s="117">
        <f t="shared" si="6"/>
        <v>-0.36694444444444541</v>
      </c>
      <c r="L20" s="138">
        <f t="shared" si="7"/>
        <v>33971.419999999991</v>
      </c>
      <c r="M20" s="138">
        <f t="shared" si="8"/>
        <v>32843.519999999997</v>
      </c>
      <c r="O20" s="141">
        <v>7.3</v>
      </c>
      <c r="P20" s="141">
        <f t="shared" si="9"/>
        <v>7.3</v>
      </c>
      <c r="Q20" s="141">
        <v>576</v>
      </c>
    </row>
    <row r="21" spans="1:20">
      <c r="A21" s="34">
        <v>43982</v>
      </c>
      <c r="B21" s="117">
        <v>12.283870967742029</v>
      </c>
      <c r="C21" s="141">
        <v>9</v>
      </c>
      <c r="D21" s="141">
        <v>201</v>
      </c>
      <c r="E21" s="141">
        <f t="shared" si="1"/>
        <v>2.4461895161290323</v>
      </c>
      <c r="F21" s="117">
        <f t="shared" si="2"/>
        <v>2.46129032258058</v>
      </c>
      <c r="G21" s="117">
        <f t="shared" si="3"/>
        <v>3</v>
      </c>
      <c r="H21" s="117">
        <f t="shared" si="4"/>
        <v>7.833333333333333</v>
      </c>
      <c r="I21" s="117">
        <v>235</v>
      </c>
      <c r="J21" s="117">
        <f t="shared" si="5"/>
        <v>-3.283870967742029</v>
      </c>
      <c r="K21" s="117">
        <f t="shared" si="6"/>
        <v>-0.55381048387096765</v>
      </c>
      <c r="L21" s="138">
        <f t="shared" si="7"/>
        <v>35791.384999999995</v>
      </c>
      <c r="M21" s="138">
        <f t="shared" si="8"/>
        <v>35075.519999999997</v>
      </c>
      <c r="O21" s="141">
        <v>9</v>
      </c>
      <c r="P21" s="141">
        <f t="shared" si="9"/>
        <v>9</v>
      </c>
      <c r="Q21" s="141">
        <v>280</v>
      </c>
    </row>
    <row r="22" spans="1:20">
      <c r="A22" s="34">
        <v>44012</v>
      </c>
      <c r="B22" s="117">
        <v>17.603333333333286</v>
      </c>
      <c r="C22" s="141">
        <v>15</v>
      </c>
      <c r="D22" s="141">
        <v>66</v>
      </c>
      <c r="E22" s="141">
        <f t="shared" si="1"/>
        <v>0.63179166666666653</v>
      </c>
      <c r="F22" s="117">
        <f t="shared" si="2"/>
        <v>0</v>
      </c>
      <c r="G22" s="117">
        <f t="shared" si="3"/>
        <v>0</v>
      </c>
      <c r="H22" s="117">
        <f t="shared" si="4"/>
        <v>6.166666666666667</v>
      </c>
      <c r="I22" s="117">
        <v>185</v>
      </c>
      <c r="J22" s="117">
        <f t="shared" si="5"/>
        <v>-2.6033333333332855</v>
      </c>
      <c r="K22" s="117">
        <f t="shared" si="6"/>
        <v>0.63179166666666653</v>
      </c>
      <c r="L22" s="138">
        <f t="shared" si="7"/>
        <v>36246.274999999994</v>
      </c>
      <c r="M22" s="138">
        <f t="shared" si="8"/>
        <v>35075.519999999997</v>
      </c>
      <c r="O22" s="141">
        <v>15</v>
      </c>
      <c r="P22" s="141">
        <f t="shared" si="9"/>
        <v>15</v>
      </c>
      <c r="Q22" s="141">
        <v>201</v>
      </c>
    </row>
    <row r="23" spans="1:20">
      <c r="A23" s="34">
        <v>44043</v>
      </c>
      <c r="B23" s="117">
        <v>19.422580645161478</v>
      </c>
      <c r="C23" s="141">
        <v>15.7</v>
      </c>
      <c r="D23" s="141">
        <v>39</v>
      </c>
      <c r="E23" s="141">
        <f t="shared" si="1"/>
        <v>0.23284274193548377</v>
      </c>
      <c r="F23" s="117">
        <f t="shared" si="2"/>
        <v>0</v>
      </c>
      <c r="G23" s="117">
        <f t="shared" si="3"/>
        <v>0</v>
      </c>
      <c r="H23" s="117">
        <f t="shared" si="4"/>
        <v>5.7</v>
      </c>
      <c r="I23" s="117">
        <v>171</v>
      </c>
      <c r="J23" s="117">
        <f t="shared" si="5"/>
        <v>-3.7225806451614787</v>
      </c>
      <c r="K23" s="117">
        <f t="shared" si="6"/>
        <v>0.23284274193548377</v>
      </c>
      <c r="L23" s="138">
        <f t="shared" si="7"/>
        <v>36419.509999999995</v>
      </c>
      <c r="M23" s="138">
        <f t="shared" si="8"/>
        <v>35075.519999999997</v>
      </c>
      <c r="O23" s="141">
        <v>15.7</v>
      </c>
      <c r="P23" s="141">
        <f t="shared" si="9"/>
        <v>15.7</v>
      </c>
      <c r="Q23" s="141">
        <v>66</v>
      </c>
    </row>
    <row r="24" spans="1:20">
      <c r="A24" s="34">
        <v>44074</v>
      </c>
      <c r="B24" s="117">
        <v>20.44838709677424</v>
      </c>
      <c r="C24" s="141">
        <v>16.7</v>
      </c>
      <c r="D24" s="141">
        <v>32</v>
      </c>
      <c r="E24" s="141">
        <f t="shared" si="1"/>
        <v>0.13720430107526882</v>
      </c>
      <c r="F24" s="117">
        <f t="shared" si="2"/>
        <v>0</v>
      </c>
      <c r="G24" s="117">
        <f t="shared" si="3"/>
        <v>0</v>
      </c>
      <c r="H24" s="117">
        <f t="shared" si="4"/>
        <v>6.833333333333333</v>
      </c>
      <c r="I24" s="117">
        <v>205</v>
      </c>
      <c r="J24" s="117">
        <f t="shared" si="5"/>
        <v>-3.7483870967742412</v>
      </c>
      <c r="K24" s="117">
        <f t="shared" si="6"/>
        <v>0.13720430107526882</v>
      </c>
      <c r="L24" s="138">
        <f t="shared" si="7"/>
        <v>36521.589999999997</v>
      </c>
      <c r="M24" s="138">
        <f t="shared" si="8"/>
        <v>35075.519999999997</v>
      </c>
      <c r="O24" s="141">
        <v>16.7</v>
      </c>
      <c r="P24" s="141">
        <f t="shared" si="9"/>
        <v>16.7</v>
      </c>
      <c r="Q24" s="141">
        <v>39</v>
      </c>
    </row>
    <row r="25" spans="1:20">
      <c r="A25" s="34">
        <v>44104</v>
      </c>
      <c r="B25" s="117">
        <v>15.749999999999757</v>
      </c>
      <c r="C25" s="141">
        <v>12.1</v>
      </c>
      <c r="D25" s="141">
        <v>125</v>
      </c>
      <c r="E25" s="141">
        <f t="shared" si="1"/>
        <v>1.4647569444444444</v>
      </c>
      <c r="F25" s="117">
        <f t="shared" si="2"/>
        <v>3.5000000000170853E-2</v>
      </c>
      <c r="G25" s="117">
        <f t="shared" si="3"/>
        <v>1.1400000000000001</v>
      </c>
      <c r="H25" s="117">
        <f t="shared" si="4"/>
        <v>5.4666666666666668</v>
      </c>
      <c r="I25" s="117">
        <v>164</v>
      </c>
      <c r="J25" s="117">
        <f t="shared" si="5"/>
        <v>-3.649999999999757</v>
      </c>
      <c r="K25" s="117">
        <f t="shared" si="6"/>
        <v>0.32475694444444425</v>
      </c>
      <c r="L25" s="138">
        <f t="shared" si="7"/>
        <v>37576.214999999997</v>
      </c>
      <c r="M25" s="138">
        <f t="shared" si="8"/>
        <v>35896.32</v>
      </c>
      <c r="O25" s="141">
        <v>12.1</v>
      </c>
      <c r="P25" s="141">
        <f t="shared" si="9"/>
        <v>12.1</v>
      </c>
      <c r="Q25" s="141">
        <v>32</v>
      </c>
    </row>
    <row r="26" spans="1:20">
      <c r="A26" s="34">
        <v>44135</v>
      </c>
      <c r="B26" s="117">
        <v>10.274193548387096</v>
      </c>
      <c r="C26" s="141">
        <v>8</v>
      </c>
      <c r="D26" s="141">
        <v>343</v>
      </c>
      <c r="E26" s="141">
        <f t="shared" si="1"/>
        <v>4.3862836021505371</v>
      </c>
      <c r="F26" s="117">
        <f t="shared" si="2"/>
        <v>3.8680645161290332</v>
      </c>
      <c r="G26" s="117">
        <f t="shared" si="3"/>
        <v>3.6</v>
      </c>
      <c r="H26" s="117">
        <f t="shared" si="4"/>
        <v>4.8</v>
      </c>
      <c r="I26" s="117">
        <v>144</v>
      </c>
      <c r="J26" s="117">
        <f t="shared" si="5"/>
        <v>-2.2741935483870961</v>
      </c>
      <c r="K26" s="117">
        <f t="shared" si="6"/>
        <v>0.78628360215053705</v>
      </c>
      <c r="L26" s="138">
        <f t="shared" si="7"/>
        <v>40839.609999999993</v>
      </c>
      <c r="M26" s="138">
        <f t="shared" si="8"/>
        <v>38574.720000000001</v>
      </c>
      <c r="O26" s="141">
        <v>8</v>
      </c>
      <c r="P26" s="141">
        <f t="shared" si="9"/>
        <v>8</v>
      </c>
      <c r="Q26" s="141">
        <v>125</v>
      </c>
    </row>
    <row r="27" spans="1:20">
      <c r="A27" s="34">
        <v>44165</v>
      </c>
      <c r="B27" s="143">
        <v>4.8533333333335271</v>
      </c>
      <c r="C27" s="141"/>
      <c r="D27" s="141">
        <v>612</v>
      </c>
      <c r="E27" s="141">
        <f t="shared" si="1"/>
        <v>8.3402499999999993</v>
      </c>
      <c r="F27" s="117">
        <f t="shared" si="2"/>
        <v>7.6626666666665324</v>
      </c>
      <c r="G27" s="117">
        <f t="shared" si="3"/>
        <v>8.4</v>
      </c>
      <c r="H27" s="117">
        <f t="shared" si="4"/>
        <v>1.5666666666666667</v>
      </c>
      <c r="I27" s="117">
        <v>47</v>
      </c>
      <c r="J27" s="117">
        <f t="shared" si="5"/>
        <v>-4.8533333333335271</v>
      </c>
      <c r="K27" s="117">
        <f t="shared" si="6"/>
        <v>-5.975000000000108E-2</v>
      </c>
      <c r="L27" s="138">
        <f t="shared" si="7"/>
        <v>46844.59</v>
      </c>
      <c r="M27" s="138">
        <f t="shared" si="8"/>
        <v>44622.720000000001</v>
      </c>
      <c r="O27" s="141"/>
      <c r="P27" s="141">
        <f t="shared" si="9"/>
        <v>0</v>
      </c>
      <c r="Q27" s="141">
        <v>343</v>
      </c>
    </row>
    <row r="28" spans="1:20">
      <c r="A28" s="34">
        <v>44196</v>
      </c>
      <c r="B28" s="143">
        <v>2.922580645161478</v>
      </c>
      <c r="C28" s="141">
        <v>0.5</v>
      </c>
      <c r="D28" s="143">
        <v>612</v>
      </c>
      <c r="E28" s="141">
        <f t="shared" si="1"/>
        <v>8.0615322580645135</v>
      </c>
      <c r="G28" s="141">
        <f t="shared" si="3"/>
        <v>8.1</v>
      </c>
      <c r="L28" s="141">
        <f t="shared" ref="L28:L33" si="10">L27+(E28)*24*($A28-$A27)</f>
        <v>52842.369999999995</v>
      </c>
      <c r="M28" s="141">
        <f t="shared" ref="M28:M33" si="11">M27+G28*24*($A28-$A27)</f>
        <v>50649.120000000003</v>
      </c>
      <c r="O28" s="117">
        <v>0.5</v>
      </c>
      <c r="P28" s="141">
        <f t="shared" si="9"/>
        <v>0.5</v>
      </c>
      <c r="Q28" s="141">
        <v>612</v>
      </c>
    </row>
    <row r="29" spans="1:20">
      <c r="A29" s="34">
        <v>44227</v>
      </c>
      <c r="B29" s="143">
        <v>9.0322580645020467E-2</v>
      </c>
      <c r="C29" s="141">
        <v>-2.6</v>
      </c>
      <c r="D29" s="141">
        <v>709</v>
      </c>
      <c r="E29" s="141">
        <f t="shared" si="1"/>
        <v>9.3868077956989229</v>
      </c>
      <c r="G29" s="141">
        <f t="shared" si="3"/>
        <v>9.9600000000000009</v>
      </c>
      <c r="L29" s="141">
        <f t="shared" si="10"/>
        <v>59826.154999999992</v>
      </c>
      <c r="M29" s="141">
        <f t="shared" si="11"/>
        <v>58059.360000000001</v>
      </c>
      <c r="O29" s="117">
        <v>-2.6</v>
      </c>
      <c r="P29" s="141">
        <f t="shared" si="9"/>
        <v>-2.6</v>
      </c>
      <c r="Q29" s="141">
        <v>709</v>
      </c>
    </row>
    <row r="30" spans="1:20">
      <c r="A30" s="34">
        <v>44255</v>
      </c>
      <c r="B30" s="143">
        <v>-0.66428571428579219</v>
      </c>
      <c r="C30" s="141">
        <v>-2.1</v>
      </c>
      <c r="D30" s="141">
        <v>627</v>
      </c>
      <c r="E30" s="141">
        <f t="shared" si="1"/>
        <v>9.1843080357142846</v>
      </c>
      <c r="G30" s="141">
        <f t="shared" si="3"/>
        <v>9.66</v>
      </c>
      <c r="L30" s="141">
        <f t="shared" si="10"/>
        <v>65998.009999999995</v>
      </c>
      <c r="M30" s="141">
        <f t="shared" si="11"/>
        <v>64550.880000000005</v>
      </c>
      <c r="O30" s="117">
        <v>-2.1</v>
      </c>
      <c r="P30" s="141">
        <f t="shared" si="9"/>
        <v>-2.1</v>
      </c>
      <c r="Q30" s="141">
        <v>627</v>
      </c>
    </row>
    <row r="31" spans="1:20">
      <c r="A31" s="34">
        <v>44286</v>
      </c>
      <c r="B31" s="75">
        <v>4.6000000000003052</v>
      </c>
      <c r="C31" s="141">
        <v>0.9</v>
      </c>
      <c r="D31" s="141">
        <v>601</v>
      </c>
      <c r="E31" s="141">
        <f t="shared" si="1"/>
        <v>7.9112432795698924</v>
      </c>
      <c r="G31" s="141">
        <f t="shared" si="3"/>
        <v>7.8599999999999994</v>
      </c>
      <c r="L31" s="141">
        <f t="shared" si="10"/>
        <v>71883.974999999991</v>
      </c>
      <c r="M31" s="141">
        <f t="shared" si="11"/>
        <v>70398.720000000001</v>
      </c>
      <c r="O31" s="141">
        <v>0.9</v>
      </c>
      <c r="P31" s="141">
        <f t="shared" si="9"/>
        <v>0.9</v>
      </c>
      <c r="Q31" s="141">
        <v>601</v>
      </c>
      <c r="R31" s="137"/>
      <c r="S31" s="137"/>
      <c r="T31" s="137"/>
    </row>
    <row r="32" spans="1:20">
      <c r="A32" s="34">
        <v>44316</v>
      </c>
      <c r="B32" s="75">
        <v>6.4666666666667876</v>
      </c>
      <c r="C32" s="141">
        <v>3.2</v>
      </c>
      <c r="D32" s="141">
        <v>427</v>
      </c>
      <c r="E32" s="117">
        <f>E$2*(D32*10.7/(A32-A31)/24)-E$1</f>
        <v>5.7284097222222217</v>
      </c>
      <c r="G32" s="141">
        <f t="shared" si="3"/>
        <v>6.48</v>
      </c>
      <c r="L32" s="141">
        <f t="shared" si="10"/>
        <v>76008.429999999993</v>
      </c>
      <c r="M32" s="141">
        <f t="shared" si="11"/>
        <v>75064.320000000007</v>
      </c>
      <c r="O32" s="141">
        <v>3.2</v>
      </c>
      <c r="P32" s="141">
        <f t="shared" si="9"/>
        <v>3.2</v>
      </c>
      <c r="Q32" s="141">
        <v>427</v>
      </c>
      <c r="R32" s="137"/>
      <c r="S32" s="137"/>
      <c r="T32" s="137"/>
    </row>
    <row r="33" spans="1:20">
      <c r="A33" s="34">
        <v>44347</v>
      </c>
      <c r="B33" s="75">
        <v>11.780645161290463</v>
      </c>
      <c r="C33" s="141">
        <f t="shared" ref="C33" si="12">B33+C$2</f>
        <v>8.7806451612904635</v>
      </c>
      <c r="D33" s="141">
        <v>250</v>
      </c>
      <c r="E33" s="141">
        <f t="shared" ref="E33:E42" si="13">E$2*(D33*10.7/(A33-A32)/24)-E$1</f>
        <v>3.1156586021505377</v>
      </c>
      <c r="F33" s="141"/>
      <c r="G33" s="141">
        <f t="shared" ref="G33:G42" si="14">IF(C33&lt;G$2,(G$2-C33)*G$1/30,0)</f>
        <v>3.1316129032257218</v>
      </c>
      <c r="L33" s="141">
        <f t="shared" si="10"/>
        <v>78326.48</v>
      </c>
      <c r="M33" s="141">
        <f t="shared" si="11"/>
        <v>77394.239999999947</v>
      </c>
      <c r="O33" s="137"/>
      <c r="P33" s="137"/>
      <c r="Q33" s="137"/>
      <c r="R33" s="137"/>
      <c r="S33" s="135"/>
      <c r="T33" s="137"/>
    </row>
    <row r="34" spans="1:20">
      <c r="A34" s="34">
        <v>44377</v>
      </c>
      <c r="B34" s="75">
        <v>20.053333333333285</v>
      </c>
      <c r="C34" s="117">
        <f>B34+C$2</f>
        <v>17.053333333333285</v>
      </c>
      <c r="D34" s="141">
        <v>38</v>
      </c>
      <c r="E34" s="141">
        <f t="shared" si="13"/>
        <v>0.23648611111111112</v>
      </c>
      <c r="F34" s="141"/>
      <c r="G34" s="141">
        <f t="shared" si="14"/>
        <v>0</v>
      </c>
      <c r="O34" s="137"/>
      <c r="P34" s="137"/>
      <c r="Q34" s="137"/>
      <c r="R34" s="137"/>
      <c r="S34" s="135"/>
      <c r="T34" s="137"/>
    </row>
    <row r="35" spans="1:20">
      <c r="A35" s="34">
        <v>44408</v>
      </c>
      <c r="B35" s="75">
        <v>19.754838709677465</v>
      </c>
      <c r="C35" s="141">
        <f t="shared" ref="C35:C42" si="15">B35+C$2</f>
        <v>16.754838709677465</v>
      </c>
      <c r="D35" s="117">
        <v>32</v>
      </c>
      <c r="E35" s="141">
        <f t="shared" si="13"/>
        <v>0.13720430107526882</v>
      </c>
      <c r="F35" s="141"/>
      <c r="G35" s="141">
        <f t="shared" si="14"/>
        <v>0</v>
      </c>
      <c r="O35" s="137"/>
      <c r="P35" s="137"/>
      <c r="Q35" s="137"/>
      <c r="R35" s="137"/>
      <c r="S35" s="137"/>
      <c r="T35" s="137"/>
    </row>
    <row r="36" spans="1:20">
      <c r="A36" s="34">
        <v>44439</v>
      </c>
      <c r="B36" s="75">
        <v>17.37741935483885</v>
      </c>
      <c r="C36" s="141">
        <f t="shared" si="15"/>
        <v>14.37741935483885</v>
      </c>
      <c r="D36" s="117">
        <v>83</v>
      </c>
      <c r="E36" s="141">
        <f t="shared" si="13"/>
        <v>0.83399865591397826</v>
      </c>
      <c r="F36" s="141"/>
      <c r="G36" s="141">
        <f t="shared" si="14"/>
        <v>0</v>
      </c>
      <c r="I36" s="138"/>
      <c r="L36" s="138"/>
      <c r="O36" s="137"/>
      <c r="P36" s="137"/>
      <c r="Q36" s="137"/>
      <c r="R36" s="137"/>
      <c r="S36" s="137"/>
      <c r="T36" s="137"/>
    </row>
    <row r="37" spans="1:20">
      <c r="A37" s="34">
        <v>44469</v>
      </c>
      <c r="B37" s="75">
        <v>15.863333333333625</v>
      </c>
      <c r="C37" s="141">
        <f t="shared" si="15"/>
        <v>12.863333333333625</v>
      </c>
      <c r="D37" s="138">
        <v>135</v>
      </c>
      <c r="E37" s="141">
        <f t="shared" si="13"/>
        <v>1.6059375</v>
      </c>
      <c r="F37" s="141"/>
      <c r="G37" s="141">
        <f t="shared" si="14"/>
        <v>0.68199999999982519</v>
      </c>
      <c r="I37" s="138"/>
      <c r="L37" s="138"/>
      <c r="O37" s="137"/>
      <c r="P37" s="137"/>
      <c r="Q37" s="137"/>
      <c r="R37" s="137"/>
      <c r="S37" s="137"/>
      <c r="T37" s="137"/>
    </row>
    <row r="38" spans="1:20">
      <c r="A38" s="34">
        <v>44500</v>
      </c>
      <c r="B38" s="75">
        <v>9.0451612903229801</v>
      </c>
      <c r="C38" s="141">
        <f t="shared" si="15"/>
        <v>6.0451612903229801</v>
      </c>
      <c r="D38" s="138">
        <v>305</v>
      </c>
      <c r="E38" s="141">
        <f t="shared" si="13"/>
        <v>3.867103494623656</v>
      </c>
      <c r="F38" s="141"/>
      <c r="G38" s="141">
        <f t="shared" si="14"/>
        <v>4.7729032258062123</v>
      </c>
      <c r="I38" s="138"/>
      <c r="L38" s="138"/>
      <c r="O38" s="137"/>
      <c r="P38" s="137"/>
      <c r="Q38" s="137"/>
      <c r="R38" s="137"/>
      <c r="S38" s="137"/>
      <c r="T38" s="137"/>
    </row>
    <row r="39" spans="1:20">
      <c r="A39" s="34">
        <v>44530</v>
      </c>
      <c r="B39" s="117">
        <v>4.6299999999996846</v>
      </c>
      <c r="C39" s="141">
        <f t="shared" si="15"/>
        <v>1.6299999999996846</v>
      </c>
      <c r="D39" s="138">
        <v>357</v>
      </c>
      <c r="E39" s="141">
        <f t="shared" si="13"/>
        <v>4.7401458333333331</v>
      </c>
      <c r="F39" s="141"/>
      <c r="G39" s="141">
        <f t="shared" si="14"/>
        <v>7.4220000000001898</v>
      </c>
      <c r="O39" s="137"/>
      <c r="P39" s="137"/>
      <c r="Q39" s="137"/>
      <c r="R39" s="137"/>
      <c r="S39" s="137"/>
      <c r="T39" s="137"/>
    </row>
    <row r="40" spans="1:20">
      <c r="A40" s="34">
        <v>44561</v>
      </c>
      <c r="B40" s="117">
        <v>1.9548387096777244</v>
      </c>
      <c r="C40" s="141">
        <f t="shared" si="15"/>
        <v>-1.0451612903222756</v>
      </c>
      <c r="D40" s="138">
        <v>355</v>
      </c>
      <c r="E40" s="141">
        <f t="shared" si="13"/>
        <v>4.5502352150537622</v>
      </c>
      <c r="F40" s="141"/>
      <c r="G40" s="141">
        <f t="shared" si="14"/>
        <v>9.0270967741933639</v>
      </c>
      <c r="O40" s="137"/>
      <c r="P40" s="137"/>
      <c r="Q40" s="137"/>
      <c r="R40" s="137"/>
      <c r="S40" s="137"/>
      <c r="T40" s="137"/>
    </row>
    <row r="41" spans="1:20">
      <c r="A41" s="34">
        <v>44592</v>
      </c>
      <c r="B41" s="117">
        <v>2.0290322580644458</v>
      </c>
      <c r="C41" s="141">
        <f t="shared" si="15"/>
        <v>-0.97096774193555424</v>
      </c>
      <c r="D41" s="138">
        <v>334</v>
      </c>
      <c r="E41" s="141">
        <f t="shared" si="13"/>
        <v>4.2633198924731186</v>
      </c>
      <c r="F41" s="141"/>
      <c r="G41" s="141">
        <f t="shared" si="14"/>
        <v>8.9825806451613328</v>
      </c>
      <c r="O41" s="137"/>
      <c r="P41" s="137"/>
      <c r="Q41" s="137"/>
      <c r="R41" s="137"/>
      <c r="S41" s="137"/>
      <c r="T41" s="137"/>
    </row>
    <row r="42" spans="1:20">
      <c r="A42" s="34">
        <v>44620</v>
      </c>
      <c r="B42" s="117">
        <v>4.4821428571425974</v>
      </c>
      <c r="C42" s="141">
        <f t="shared" si="15"/>
        <v>1.4821428571425974</v>
      </c>
      <c r="D42" s="138">
        <v>271</v>
      </c>
      <c r="E42" s="141">
        <f t="shared" si="13"/>
        <v>3.7992782738095237</v>
      </c>
      <c r="F42" s="141"/>
      <c r="G42" s="141">
        <f t="shared" si="14"/>
        <v>7.5107142857144407</v>
      </c>
      <c r="O42" s="137"/>
      <c r="P42" s="137"/>
      <c r="Q42" s="137"/>
      <c r="R42" s="137"/>
      <c r="S42" s="137"/>
      <c r="T42" s="137"/>
    </row>
    <row r="43" spans="1:20">
      <c r="A43" s="34">
        <v>44651</v>
      </c>
      <c r="C43" s="138"/>
      <c r="D43" s="138"/>
      <c r="E43" s="138"/>
      <c r="O43" s="137"/>
      <c r="P43" s="137"/>
      <c r="Q43" s="137"/>
      <c r="R43" s="137"/>
      <c r="S43" s="137"/>
      <c r="T43" s="137"/>
    </row>
    <row r="44" spans="1:20">
      <c r="A44" s="34">
        <v>44681</v>
      </c>
      <c r="C44" s="138"/>
      <c r="D44" s="138"/>
      <c r="E44" s="138"/>
      <c r="O44" s="137"/>
      <c r="P44" s="137"/>
      <c r="Q44" s="137"/>
      <c r="R44" s="137"/>
      <c r="S44" s="137"/>
      <c r="T44" s="137"/>
    </row>
    <row r="45" spans="1:20">
      <c r="C45" s="138"/>
      <c r="D45" s="138"/>
      <c r="E45" s="138"/>
      <c r="O45" s="137"/>
      <c r="P45" s="137"/>
      <c r="Q45" s="137"/>
      <c r="R45" s="137"/>
      <c r="S45" s="137"/>
      <c r="T45" s="137"/>
    </row>
    <row r="46" spans="1:20">
      <c r="C46" s="138"/>
      <c r="D46" s="138"/>
      <c r="E46" s="138"/>
      <c r="O46" s="137"/>
      <c r="P46" s="137"/>
      <c r="Q46" s="137"/>
      <c r="R46" s="137"/>
      <c r="S46" s="137"/>
      <c r="T46" s="137"/>
    </row>
    <row r="47" spans="1:20">
      <c r="C47" s="138"/>
      <c r="D47" s="138"/>
      <c r="E47" s="138"/>
      <c r="O47" s="137"/>
      <c r="P47" s="137"/>
      <c r="Q47" s="137"/>
      <c r="R47" s="137"/>
      <c r="S47" s="137"/>
      <c r="T47" s="137"/>
    </row>
    <row r="48" spans="1:20">
      <c r="C48" s="138"/>
      <c r="D48" s="138"/>
      <c r="E48" s="138"/>
      <c r="O48" s="137"/>
      <c r="P48" s="137"/>
      <c r="Q48" s="137"/>
      <c r="R48" s="137"/>
      <c r="S48" s="137"/>
      <c r="T48" s="137"/>
    </row>
    <row r="52" spans="15:22">
      <c r="O52" s="34">
        <v>43709</v>
      </c>
      <c r="P52" s="117" t="s">
        <v>486</v>
      </c>
      <c r="Q52" s="117">
        <v>145</v>
      </c>
      <c r="R52" s="117" t="s">
        <v>485</v>
      </c>
      <c r="S52" s="117">
        <v>11.5</v>
      </c>
      <c r="T52" s="117" t="s">
        <v>484</v>
      </c>
      <c r="U52" s="117">
        <v>114</v>
      </c>
      <c r="V52" s="117" t="s">
        <v>483</v>
      </c>
    </row>
    <row r="53" spans="15:22">
      <c r="O53" s="34">
        <v>43739</v>
      </c>
      <c r="P53" s="117" t="s">
        <v>486</v>
      </c>
      <c r="Q53" s="117">
        <v>377</v>
      </c>
      <c r="R53" s="117" t="s">
        <v>485</v>
      </c>
      <c r="S53" s="117">
        <v>8.1999999999999993</v>
      </c>
      <c r="T53" s="117" t="s">
        <v>484</v>
      </c>
      <c r="U53" s="117">
        <v>110</v>
      </c>
      <c r="V53" s="117" t="s">
        <v>483</v>
      </c>
    </row>
    <row r="54" spans="15:22">
      <c r="O54" s="34">
        <v>43770</v>
      </c>
      <c r="P54" s="117" t="s">
        <v>486</v>
      </c>
      <c r="Q54" s="117">
        <v>600</v>
      </c>
      <c r="R54" s="117" t="s">
        <v>485</v>
      </c>
      <c r="S54" s="117">
        <v>4.5999999999999996</v>
      </c>
      <c r="T54" s="117" t="s">
        <v>484</v>
      </c>
      <c r="U54" s="117">
        <v>30</v>
      </c>
      <c r="V54" s="117" t="s">
        <v>483</v>
      </c>
    </row>
    <row r="55" spans="15:22">
      <c r="O55" s="34">
        <v>43800</v>
      </c>
      <c r="P55" s="117" t="s">
        <v>486</v>
      </c>
      <c r="Q55" s="117">
        <v>653</v>
      </c>
      <c r="R55" s="117" t="s">
        <v>485</v>
      </c>
      <c r="S55" s="117">
        <v>0.4</v>
      </c>
      <c r="T55" s="117" t="s">
        <v>484</v>
      </c>
      <c r="U55" s="117">
        <v>18</v>
      </c>
      <c r="V55" s="117" t="s">
        <v>483</v>
      </c>
    </row>
    <row r="56" spans="15:22">
      <c r="O56" s="34">
        <v>43831</v>
      </c>
      <c r="P56" s="117" t="s">
        <v>486</v>
      </c>
      <c r="Q56" s="117">
        <v>712</v>
      </c>
      <c r="R56" s="117" t="s">
        <v>485</v>
      </c>
      <c r="S56" s="117" t="s">
        <v>487</v>
      </c>
      <c r="T56" s="117" t="s">
        <v>484</v>
      </c>
      <c r="U56" s="117">
        <v>29</v>
      </c>
      <c r="V56" s="117" t="s">
        <v>483</v>
      </c>
    </row>
    <row r="57" spans="15:22">
      <c r="O57" s="34">
        <v>43862</v>
      </c>
      <c r="P57" s="117" t="s">
        <v>486</v>
      </c>
      <c r="Q57" s="117">
        <v>590</v>
      </c>
      <c r="R57" s="117" t="s">
        <v>485</v>
      </c>
      <c r="S57" s="117">
        <v>1.5</v>
      </c>
      <c r="T57" s="117" t="s">
        <v>484</v>
      </c>
      <c r="U57" s="117">
        <v>30</v>
      </c>
      <c r="V57" s="117" t="s">
        <v>483</v>
      </c>
    </row>
    <row r="58" spans="15:22">
      <c r="O58" s="34">
        <v>43891</v>
      </c>
      <c r="P58" s="117" t="s">
        <v>486</v>
      </c>
      <c r="Q58" s="117">
        <v>576</v>
      </c>
      <c r="R58" s="117" t="s">
        <v>485</v>
      </c>
      <c r="S58" s="117">
        <v>2</v>
      </c>
      <c r="T58" s="117" t="s">
        <v>484</v>
      </c>
      <c r="U58" s="117">
        <v>129</v>
      </c>
      <c r="V58" s="117" t="s">
        <v>483</v>
      </c>
    </row>
    <row r="59" spans="15:22">
      <c r="O59" s="34">
        <v>43922</v>
      </c>
      <c r="P59" s="117" t="s">
        <v>486</v>
      </c>
      <c r="Q59" s="117">
        <v>280</v>
      </c>
      <c r="R59" s="117" t="s">
        <v>485</v>
      </c>
      <c r="S59" s="117">
        <v>7.3</v>
      </c>
      <c r="T59" s="117" t="s">
        <v>484</v>
      </c>
      <c r="U59" s="117">
        <v>235</v>
      </c>
      <c r="V59" s="117" t="s">
        <v>483</v>
      </c>
    </row>
    <row r="60" spans="15:22">
      <c r="O60" s="34">
        <v>43952</v>
      </c>
      <c r="P60" s="117" t="s">
        <v>486</v>
      </c>
      <c r="Q60" s="117">
        <v>201</v>
      </c>
      <c r="R60" s="117" t="s">
        <v>485</v>
      </c>
      <c r="S60" s="117">
        <v>9</v>
      </c>
      <c r="T60" s="117" t="s">
        <v>484</v>
      </c>
      <c r="U60" s="117">
        <v>185</v>
      </c>
      <c r="V60" s="117" t="s">
        <v>483</v>
      </c>
    </row>
    <row r="61" spans="15:22">
      <c r="O61" s="34">
        <v>43983</v>
      </c>
      <c r="P61" s="117" t="s">
        <v>486</v>
      </c>
      <c r="Q61" s="117">
        <v>66</v>
      </c>
      <c r="R61" s="117" t="s">
        <v>485</v>
      </c>
      <c r="S61" s="117">
        <v>15</v>
      </c>
      <c r="T61" s="117" t="s">
        <v>484</v>
      </c>
      <c r="U61" s="117">
        <v>171</v>
      </c>
      <c r="V61" s="117" t="s">
        <v>483</v>
      </c>
    </row>
    <row r="62" spans="15:22">
      <c r="O62" s="34">
        <v>44013</v>
      </c>
      <c r="P62" s="117" t="s">
        <v>486</v>
      </c>
      <c r="Q62" s="117">
        <v>39</v>
      </c>
      <c r="R62" s="117" t="s">
        <v>485</v>
      </c>
      <c r="S62" s="117">
        <v>15.7</v>
      </c>
      <c r="T62" s="117" t="s">
        <v>484</v>
      </c>
      <c r="U62" s="117">
        <v>205</v>
      </c>
      <c r="V62" s="117" t="s">
        <v>483</v>
      </c>
    </row>
    <row r="63" spans="15:22">
      <c r="O63" s="34">
        <v>44044</v>
      </c>
      <c r="P63" s="117" t="s">
        <v>486</v>
      </c>
      <c r="Q63" s="117">
        <v>32</v>
      </c>
      <c r="R63" s="117" t="s">
        <v>485</v>
      </c>
      <c r="S63" s="117">
        <v>16.7</v>
      </c>
      <c r="T63" s="117" t="s">
        <v>484</v>
      </c>
      <c r="U63" s="117">
        <v>164</v>
      </c>
      <c r="V63" s="117" t="s">
        <v>483</v>
      </c>
    </row>
    <row r="64" spans="15:22">
      <c r="O64" s="34">
        <v>44075</v>
      </c>
      <c r="P64" s="117" t="s">
        <v>486</v>
      </c>
      <c r="Q64" s="117">
        <v>125</v>
      </c>
      <c r="R64" s="117" t="s">
        <v>485</v>
      </c>
      <c r="S64" s="117">
        <v>12.1</v>
      </c>
      <c r="T64" s="117" t="s">
        <v>484</v>
      </c>
      <c r="U64" s="117">
        <v>144</v>
      </c>
      <c r="V64" s="117" t="s">
        <v>483</v>
      </c>
    </row>
    <row r="65" spans="15:22">
      <c r="O65" s="34">
        <v>44105</v>
      </c>
      <c r="P65" s="117" t="s">
        <v>486</v>
      </c>
      <c r="Q65" s="117">
        <v>343</v>
      </c>
      <c r="R65" s="117" t="s">
        <v>485</v>
      </c>
      <c r="S65" s="117">
        <v>8</v>
      </c>
      <c r="T65" s="117" t="s">
        <v>484</v>
      </c>
      <c r="U65" s="117">
        <v>47</v>
      </c>
      <c r="V65" s="117" t="s">
        <v>483</v>
      </c>
    </row>
  </sheetData>
  <hyperlinks>
    <hyperlink ref="J2" r:id="rId1" location="text35"/>
    <hyperlink ref="J3" r:id="rId2"/>
    <hyperlink ref="J4" r:id="rId3" location="text17 "/>
  </hyperlinks>
  <pageMargins left="0.7" right="0.7" top="0.78740157499999996" bottom="0.78740157499999996" header="0.3" footer="0.3"/>
  <pageSetup paperSize="9" orientation="portrait" verticalDpi="0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>
  <dimension ref="A1:M160"/>
  <sheetViews>
    <sheetView workbookViewId="0">
      <pane ySplit="3" topLeftCell="A4" activePane="bottomLeft" state="frozen"/>
      <selection pane="bottomLeft" activeCell="A2" sqref="A2"/>
    </sheetView>
  </sheetViews>
  <sheetFormatPr defaultRowHeight="15"/>
  <cols>
    <col min="1" max="1" width="14.42578125" style="6" customWidth="1"/>
    <col min="2" max="4" width="7.7109375" customWidth="1"/>
    <col min="5" max="5" width="7.7109375" style="7" customWidth="1"/>
    <col min="6" max="11" width="7.7109375" customWidth="1"/>
    <col min="13" max="13" width="11.85546875" bestFit="1" customWidth="1"/>
  </cols>
  <sheetData>
    <row r="1" spans="1:13">
      <c r="A1" s="12" t="s">
        <v>1531</v>
      </c>
      <c r="C1">
        <f>F2/30*1000</f>
        <v>666.66666666666663</v>
      </c>
      <c r="D1" s="109" t="s">
        <v>346</v>
      </c>
      <c r="F1" s="2">
        <v>1.7</v>
      </c>
      <c r="G1" t="s">
        <v>8</v>
      </c>
      <c r="H1" s="27" t="s">
        <v>17</v>
      </c>
      <c r="I1" s="11"/>
      <c r="K1" s="141"/>
      <c r="L1" s="141"/>
      <c r="M1" s="146" t="s">
        <v>421</v>
      </c>
    </row>
    <row r="2" spans="1:13">
      <c r="C2">
        <v>2000</v>
      </c>
      <c r="D2" s="109" t="s">
        <v>347</v>
      </c>
      <c r="F2" s="3">
        <v>20</v>
      </c>
      <c r="G2" t="s">
        <v>5</v>
      </c>
      <c r="H2" s="11" t="s">
        <v>15</v>
      </c>
      <c r="M2" s="141" t="s">
        <v>1090</v>
      </c>
    </row>
    <row r="3" spans="1:13">
      <c r="C3" s="110"/>
      <c r="D3" s="110"/>
      <c r="E3" s="31">
        <v>0.95</v>
      </c>
      <c r="F3" s="3">
        <v>13</v>
      </c>
      <c r="G3" t="s">
        <v>6</v>
      </c>
      <c r="M3" s="141" t="s">
        <v>1091</v>
      </c>
    </row>
    <row r="4" spans="1:13">
      <c r="A4" s="6" t="s">
        <v>11</v>
      </c>
      <c r="B4" s="4" t="s">
        <v>13</v>
      </c>
      <c r="C4" s="4" t="s">
        <v>14</v>
      </c>
      <c r="D4" s="4"/>
      <c r="E4" s="7" t="s">
        <v>1</v>
      </c>
      <c r="F4" t="s">
        <v>2</v>
      </c>
      <c r="H4">
        <f>B11</f>
        <v>41706.144</v>
      </c>
      <c r="I4" s="33" t="s">
        <v>44</v>
      </c>
      <c r="J4" s="33" t="s">
        <v>35</v>
      </c>
      <c r="K4" s="33" t="s">
        <v>95</v>
      </c>
      <c r="M4" s="141" t="s">
        <v>1092</v>
      </c>
    </row>
    <row r="5" spans="1:13">
      <c r="A5" s="8">
        <v>42084.638888888891</v>
      </c>
      <c r="B5" s="10">
        <v>40721.699999999997</v>
      </c>
      <c r="C5" s="5">
        <f>C6</f>
        <v>7.6142857142857139</v>
      </c>
      <c r="F5" s="5">
        <f>F$1+(IF(F$3-$C5&gt;0,F$3-$C5,0)*F$2/30)</f>
        <v>5.2904761904761903</v>
      </c>
      <c r="G5" s="124"/>
      <c r="H5">
        <f>B23</f>
        <v>250.6</v>
      </c>
      <c r="I5" s="33" t="s">
        <v>29</v>
      </c>
      <c r="J5">
        <f>H5-H4+B20</f>
        <v>3826.0630000000019</v>
      </c>
      <c r="K5">
        <f>(J5*0.95*10.7-365*24*F$1)/24/F$2</f>
        <v>49.999854989583369</v>
      </c>
      <c r="M5" s="46" t="s">
        <v>283</v>
      </c>
    </row>
    <row r="6" spans="1:13">
      <c r="A6" s="8">
        <v>42109.5</v>
      </c>
      <c r="B6" s="10">
        <v>41042</v>
      </c>
      <c r="C6" s="11">
        <v>7.6142857142857139</v>
      </c>
      <c r="D6" s="4"/>
      <c r="E6" s="7">
        <f>(B6-B5)*10.7/(A6-A5)/24*E$3</f>
        <v>5.4567310055869953</v>
      </c>
      <c r="F6" s="11">
        <f t="shared" ref="F6:F69" si="0">F$1+(IF(F$3-$C6&gt;0,F$3-$C6,0)*F$2/30)</f>
        <v>5.2904761904761903</v>
      </c>
      <c r="G6" s="124"/>
      <c r="H6">
        <f>B37</f>
        <v>4481.1840000000002</v>
      </c>
      <c r="I6" s="33" t="s">
        <v>30</v>
      </c>
      <c r="J6" s="33">
        <f>H6-H5</f>
        <v>4230.5839999999998</v>
      </c>
      <c r="K6" s="33">
        <f>(J6*0.95*10.7-365*24*F$1)/24/F$2</f>
        <v>58.566429916666642</v>
      </c>
      <c r="M6" s="33" t="s">
        <v>45</v>
      </c>
    </row>
    <row r="7" spans="1:13">
      <c r="A7" s="8">
        <v>42110.451388888891</v>
      </c>
      <c r="B7" s="10">
        <v>41053.32</v>
      </c>
      <c r="C7" s="11">
        <v>14.5</v>
      </c>
      <c r="D7" s="11"/>
      <c r="E7" s="30">
        <f t="shared" ref="E7:E62" si="1">(B7-B6)*10.7/(A7-A6)/24*E$3</f>
        <v>5.0394656934219624</v>
      </c>
      <c r="F7" s="11">
        <f t="shared" si="0"/>
        <v>1.7</v>
      </c>
      <c r="G7" s="205"/>
      <c r="H7">
        <f>B50</f>
        <v>8497.7119999999995</v>
      </c>
      <c r="I7" s="33" t="s">
        <v>31</v>
      </c>
      <c r="J7" s="33">
        <f>H7-H6</f>
        <v>4016.5279999999993</v>
      </c>
      <c r="K7" s="33">
        <f>(J7*0.95*10.7-365*24*F$1)/24/F$2</f>
        <v>54.033348166666642</v>
      </c>
      <c r="M7" s="33" t="s">
        <v>46</v>
      </c>
    </row>
    <row r="8" spans="1:13">
      <c r="A8" s="8">
        <v>42128.6875</v>
      </c>
      <c r="B8" s="10">
        <v>41188.747000000003</v>
      </c>
      <c r="C8" s="11">
        <v>10.777777777777777</v>
      </c>
      <c r="D8" s="11"/>
      <c r="E8" s="30">
        <f t="shared" si="1"/>
        <v>3.1453513823308965</v>
      </c>
      <c r="F8" s="11">
        <f t="shared" si="0"/>
        <v>3.181481481481482</v>
      </c>
      <c r="G8" s="205"/>
      <c r="M8" s="33" t="s">
        <v>47</v>
      </c>
    </row>
    <row r="9" spans="1:13">
      <c r="A9" s="8">
        <v>42135.666666666664</v>
      </c>
      <c r="B9" s="10">
        <v>41222.908000000003</v>
      </c>
      <c r="C9" s="11">
        <v>14.057142857142862</v>
      </c>
      <c r="D9" s="11"/>
      <c r="E9" s="30">
        <f t="shared" si="1"/>
        <v>2.0731138208962463</v>
      </c>
      <c r="F9" s="11">
        <f t="shared" si="0"/>
        <v>1.7</v>
      </c>
      <c r="G9" s="205"/>
      <c r="I9" s="40" t="s">
        <v>3</v>
      </c>
      <c r="M9" s="117" t="s">
        <v>442</v>
      </c>
    </row>
    <row r="10" spans="1:13">
      <c r="A10" s="8">
        <v>42200.448611111111</v>
      </c>
      <c r="B10" s="10">
        <v>41541.667999999998</v>
      </c>
      <c r="C10" s="11">
        <v>16.910769230769233</v>
      </c>
      <c r="D10" s="11"/>
      <c r="E10" s="30">
        <f t="shared" si="1"/>
        <v>2.0840396629718283</v>
      </c>
      <c r="F10" s="11">
        <f t="shared" si="0"/>
        <v>1.7</v>
      </c>
      <c r="G10" s="205"/>
      <c r="H10" s="40" t="s">
        <v>136</v>
      </c>
      <c r="I10">
        <f>B20-B9</f>
        <v>4058.6990000000005</v>
      </c>
      <c r="J10">
        <f>I10-2000</f>
        <v>2058.6990000000005</v>
      </c>
      <c r="K10">
        <f>J10*10.7*0.95/24/L$64</f>
        <v>10.258174183823531</v>
      </c>
      <c r="M10" s="141" t="s">
        <v>1467</v>
      </c>
    </row>
    <row r="11" spans="1:13">
      <c r="A11" s="8">
        <v>42234.682638888888</v>
      </c>
      <c r="B11" s="10">
        <v>41706.144</v>
      </c>
      <c r="C11" s="11">
        <v>22.776470588235302</v>
      </c>
      <c r="D11" s="11"/>
      <c r="E11" s="30">
        <f t="shared" si="1"/>
        <v>2.0348887843074581</v>
      </c>
      <c r="F11" s="11">
        <f t="shared" si="0"/>
        <v>1.7</v>
      </c>
      <c r="G11" s="205"/>
      <c r="H11" s="40" t="s">
        <v>137</v>
      </c>
      <c r="I11">
        <f>B37-B23</f>
        <v>4230.5839999999998</v>
      </c>
      <c r="J11" s="40">
        <f>I11-2000</f>
        <v>2230.5839999999998</v>
      </c>
      <c r="K11" s="40">
        <f>J11*10.7*0.95/24/L$64</f>
        <v>11.114650176470587</v>
      </c>
      <c r="M11" s="141" t="s">
        <v>1481</v>
      </c>
    </row>
    <row r="12" spans="1:13">
      <c r="A12" s="8">
        <v>42289.916666666664</v>
      </c>
      <c r="B12" s="10">
        <v>41942.879999999997</v>
      </c>
      <c r="C12" s="11">
        <v>15.065454545454569</v>
      </c>
      <c r="D12" s="11"/>
      <c r="E12" s="30">
        <f t="shared" si="1"/>
        <v>1.8153222575656762</v>
      </c>
      <c r="F12" s="11">
        <f t="shared" si="0"/>
        <v>1.7</v>
      </c>
      <c r="G12" s="205"/>
      <c r="H12" s="40" t="s">
        <v>138</v>
      </c>
      <c r="I12">
        <f>B50-B37</f>
        <v>4016.5279999999993</v>
      </c>
      <c r="J12" s="40">
        <f>I12-2000</f>
        <v>2016.5279999999993</v>
      </c>
      <c r="K12" s="40">
        <f>J12*10.7*0.95/24/L$64</f>
        <v>10.048042705882349</v>
      </c>
      <c r="M12" s="141" t="s">
        <v>1484</v>
      </c>
    </row>
    <row r="13" spans="1:13">
      <c r="A13" s="8">
        <v>42370.625</v>
      </c>
      <c r="B13" s="10">
        <v>43002.033000000003</v>
      </c>
      <c r="C13" s="11">
        <v>6.2679012345678817</v>
      </c>
      <c r="D13" s="11"/>
      <c r="E13" s="30">
        <f t="shared" si="1"/>
        <v>5.5582293469281021</v>
      </c>
      <c r="F13" s="11">
        <f t="shared" si="0"/>
        <v>6.1880658436214127</v>
      </c>
      <c r="G13" s="205"/>
      <c r="H13" s="141"/>
    </row>
    <row r="14" spans="1:13">
      <c r="A14" s="8">
        <v>42374.668055555558</v>
      </c>
      <c r="B14" s="10">
        <v>43089.624000000003</v>
      </c>
      <c r="C14" s="11">
        <v>-4.3999999999999773</v>
      </c>
      <c r="D14" s="11"/>
      <c r="E14" s="30">
        <f t="shared" si="1"/>
        <v>9.1758417897582341</v>
      </c>
      <c r="F14" s="11">
        <f t="shared" si="0"/>
        <v>13.299999999999985</v>
      </c>
      <c r="G14" s="205"/>
      <c r="H14" s="141"/>
    </row>
    <row r="15" spans="1:13">
      <c r="A15" s="8">
        <v>42376.5</v>
      </c>
      <c r="B15" s="10">
        <v>43130.720000000001</v>
      </c>
      <c r="C15" s="11">
        <v>-2.5499999999999545</v>
      </c>
      <c r="D15" s="11"/>
      <c r="E15" s="30">
        <f t="shared" si="1"/>
        <v>9.5013079605865691</v>
      </c>
      <c r="F15" s="11">
        <f t="shared" si="0"/>
        <v>12.066666666666636</v>
      </c>
      <c r="G15" s="205"/>
      <c r="H15" s="141"/>
    </row>
    <row r="16" spans="1:13">
      <c r="A16" s="8">
        <v>42388.804861111108</v>
      </c>
      <c r="B16" s="10">
        <v>43397.906999999999</v>
      </c>
      <c r="C16" s="11">
        <v>-0.875</v>
      </c>
      <c r="D16" s="11"/>
      <c r="E16" s="30">
        <f t="shared" si="1"/>
        <v>9.19675779107396</v>
      </c>
      <c r="F16" s="11">
        <f t="shared" si="0"/>
        <v>10.95</v>
      </c>
      <c r="G16" s="205"/>
      <c r="H16" s="141"/>
    </row>
    <row r="17" spans="1:12">
      <c r="A17" s="8">
        <v>42389.998611111114</v>
      </c>
      <c r="B17" s="10">
        <v>43427.118999999999</v>
      </c>
      <c r="C17" s="11">
        <v>-5.5999999999999091</v>
      </c>
      <c r="D17" s="11"/>
      <c r="E17" s="30">
        <f t="shared" si="1"/>
        <v>10.36439720762818</v>
      </c>
      <c r="F17" s="11">
        <f t="shared" si="0"/>
        <v>14.099999999999939</v>
      </c>
      <c r="G17" s="205"/>
      <c r="H17" s="141"/>
    </row>
    <row r="18" spans="1:12">
      <c r="A18" s="8">
        <v>42391.96597222222</v>
      </c>
      <c r="B18" s="10">
        <v>43478.22</v>
      </c>
      <c r="C18" s="11">
        <v>-7.7999999999999545</v>
      </c>
      <c r="D18" s="11"/>
      <c r="E18" s="30">
        <f t="shared" si="1"/>
        <v>11.001235404191025</v>
      </c>
      <c r="F18" s="11">
        <f t="shared" si="0"/>
        <v>15.566666666666636</v>
      </c>
      <c r="G18" s="205"/>
      <c r="H18" s="141"/>
    </row>
    <row r="19" spans="1:12">
      <c r="A19" s="8">
        <v>42496.530555555553</v>
      </c>
      <c r="B19" s="10">
        <v>45046.504000000001</v>
      </c>
      <c r="C19" s="11">
        <v>5.8104761904761899</v>
      </c>
      <c r="D19" s="10"/>
      <c r="E19" s="30">
        <f t="shared" si="1"/>
        <v>6.3523766651391949</v>
      </c>
      <c r="F19" s="11">
        <f t="shared" si="0"/>
        <v>6.4930158730158736</v>
      </c>
      <c r="G19" s="205"/>
      <c r="H19" s="141"/>
      <c r="J19" s="141" t="s">
        <v>1485</v>
      </c>
      <c r="K19" s="141" t="s">
        <v>1486</v>
      </c>
    </row>
    <row r="20" spans="1:12">
      <c r="A20" s="8">
        <v>42538.541666666664</v>
      </c>
      <c r="B20" s="10">
        <v>45281.607000000004</v>
      </c>
      <c r="C20" s="11">
        <v>15.964285714285671</v>
      </c>
      <c r="D20" s="10"/>
      <c r="E20" s="30">
        <f t="shared" si="1"/>
        <v>2.3702281092965198</v>
      </c>
      <c r="F20" s="11">
        <f t="shared" si="0"/>
        <v>1.7</v>
      </c>
      <c r="G20" s="205" t="s">
        <v>1482</v>
      </c>
      <c r="H20" s="141" t="s">
        <v>1483</v>
      </c>
      <c r="J20">
        <f>G160</f>
        <v>251676.33709999998</v>
      </c>
      <c r="K20" s="141">
        <f>H160</f>
        <v>253180.16310636254</v>
      </c>
      <c r="L20">
        <f>K20/J20</f>
        <v>1.005975237973068</v>
      </c>
    </row>
    <row r="21" spans="1:12">
      <c r="A21" s="8">
        <v>42538.541666666664</v>
      </c>
      <c r="B21" s="10">
        <v>1</v>
      </c>
      <c r="C21" s="11">
        <v>15.964285714285671</v>
      </c>
      <c r="D21" s="11"/>
      <c r="E21" s="30"/>
      <c r="F21" s="11">
        <f t="shared" si="0"/>
        <v>1.7</v>
      </c>
      <c r="G21" s="205">
        <f>B21*10.7</f>
        <v>10.7</v>
      </c>
      <c r="H21" s="141">
        <f>(A21-A20)*F21*24</f>
        <v>0</v>
      </c>
    </row>
    <row r="22" spans="1:12">
      <c r="A22" s="8">
        <v>42542.012499999997</v>
      </c>
      <c r="B22" s="10">
        <v>21.34</v>
      </c>
      <c r="C22" s="11">
        <v>17.100000000000001</v>
      </c>
      <c r="D22" s="11"/>
      <c r="E22" s="30">
        <f t="shared" si="1"/>
        <v>2.4820660264109109</v>
      </c>
      <c r="F22" s="11">
        <f t="shared" si="0"/>
        <v>1.7</v>
      </c>
      <c r="G22" s="205">
        <f t="shared" ref="G22:G85" si="2">B22*10.7</f>
        <v>228.33799999999999</v>
      </c>
      <c r="H22" s="141">
        <f>(A22-A21)*F22*24+H21</f>
        <v>141.6099999999802</v>
      </c>
      <c r="J22" s="141" t="s">
        <v>1487</v>
      </c>
    </row>
    <row r="23" spans="1:12">
      <c r="A23" s="8">
        <v>42592.87222222222</v>
      </c>
      <c r="B23" s="10">
        <v>250.6</v>
      </c>
      <c r="C23" s="11">
        <v>19.872000000000025</v>
      </c>
      <c r="D23" s="11"/>
      <c r="E23" s="30">
        <f t="shared" si="1"/>
        <v>1.9091956907615837</v>
      </c>
      <c r="F23" s="11">
        <f t="shared" si="0"/>
        <v>1.7</v>
      </c>
      <c r="G23" s="205">
        <f t="shared" si="2"/>
        <v>2681.4199999999996</v>
      </c>
      <c r="H23" s="141">
        <f t="shared" ref="H23:H86" si="3">(A23-A22)*F23*24+H22</f>
        <v>2216.6866666666929</v>
      </c>
      <c r="J23" s="141" t="s">
        <v>1488</v>
      </c>
    </row>
    <row r="24" spans="1:12">
      <c r="A24" s="8">
        <v>42626.833333333336</v>
      </c>
      <c r="B24" s="10">
        <v>407.065</v>
      </c>
      <c r="C24" s="11">
        <v>19.361764705882305</v>
      </c>
      <c r="D24" s="11"/>
      <c r="E24" s="30">
        <f t="shared" si="1"/>
        <v>1.951333295844679</v>
      </c>
      <c r="F24" s="11">
        <f t="shared" si="0"/>
        <v>1.7</v>
      </c>
      <c r="G24" s="205">
        <f t="shared" si="2"/>
        <v>4355.5954999999994</v>
      </c>
      <c r="H24" s="141">
        <f t="shared" si="3"/>
        <v>3602.3000000001975</v>
      </c>
    </row>
    <row r="25" spans="1:12">
      <c r="A25" s="8">
        <v>42648.333333333336</v>
      </c>
      <c r="B25" s="10">
        <v>523.01199999999994</v>
      </c>
      <c r="C25" s="11">
        <v>14.604545454545381</v>
      </c>
      <c r="D25" s="11"/>
      <c r="E25" s="30">
        <f t="shared" si="1"/>
        <v>2.2841109593023243</v>
      </c>
      <c r="F25" s="11">
        <f t="shared" si="0"/>
        <v>1.7</v>
      </c>
      <c r="G25" s="205">
        <f t="shared" si="2"/>
        <v>5596.2283999999991</v>
      </c>
      <c r="H25" s="141">
        <f t="shared" si="3"/>
        <v>4479.5000000001974</v>
      </c>
    </row>
    <row r="26" spans="1:12">
      <c r="A26" s="8">
        <v>42685.696527777778</v>
      </c>
      <c r="B26" s="10">
        <v>1048.9000000000001</v>
      </c>
      <c r="C26" s="11">
        <v>6.8189189189188744</v>
      </c>
      <c r="D26" s="11"/>
      <c r="E26" s="30">
        <f t="shared" si="1"/>
        <v>5.9613607270973388</v>
      </c>
      <c r="F26" s="11">
        <f t="shared" si="0"/>
        <v>5.8207207207207503</v>
      </c>
      <c r="G26" s="205">
        <f t="shared" si="2"/>
        <v>11223.23</v>
      </c>
      <c r="H26" s="141">
        <f t="shared" si="3"/>
        <v>9699.0372822822137</v>
      </c>
    </row>
    <row r="27" spans="1:12">
      <c r="A27" s="8">
        <v>42696.536111111112</v>
      </c>
      <c r="B27" s="10">
        <v>1252.211</v>
      </c>
      <c r="C27" s="11">
        <v>3.5818181818182313</v>
      </c>
      <c r="D27" s="11"/>
      <c r="E27" s="30">
        <f t="shared" si="1"/>
        <v>7.9440950028822357</v>
      </c>
      <c r="F27" s="11">
        <f t="shared" si="0"/>
        <v>7.9787878787878448</v>
      </c>
      <c r="G27" s="205">
        <f t="shared" si="2"/>
        <v>13398.6577</v>
      </c>
      <c r="H27" s="141">
        <f t="shared" si="3"/>
        <v>11774.718948949057</v>
      </c>
    </row>
    <row r="28" spans="1:12">
      <c r="A28" s="8">
        <v>42708.9375</v>
      </c>
      <c r="B28" s="10">
        <v>1476.5139999999999</v>
      </c>
      <c r="C28" s="11">
        <v>1.8583333333333485</v>
      </c>
      <c r="D28" s="11"/>
      <c r="E28" s="30">
        <f t="shared" si="1"/>
        <v>7.6605666760003475</v>
      </c>
      <c r="F28" s="11">
        <f t="shared" si="0"/>
        <v>9.1277777777777676</v>
      </c>
      <c r="G28" s="205">
        <f t="shared" si="2"/>
        <v>15798.699799999999</v>
      </c>
      <c r="H28" s="141">
        <f t="shared" si="3"/>
        <v>14491.449874874697</v>
      </c>
    </row>
    <row r="29" spans="1:12">
      <c r="A29" s="8">
        <v>42711.472222222219</v>
      </c>
      <c r="B29" s="10">
        <v>1532.306</v>
      </c>
      <c r="C29" s="11">
        <v>-2.3666666666664846</v>
      </c>
      <c r="D29" s="11"/>
      <c r="E29" s="30">
        <f t="shared" si="1"/>
        <v>9.3226139178201368</v>
      </c>
      <c r="F29" s="11">
        <f t="shared" si="0"/>
        <v>11.944444444444322</v>
      </c>
      <c r="G29" s="205">
        <f t="shared" si="2"/>
        <v>16395.674199999998</v>
      </c>
      <c r="H29" s="141">
        <f t="shared" si="3"/>
        <v>15218.070245244133</v>
      </c>
    </row>
    <row r="30" spans="1:12">
      <c r="A30" s="8">
        <v>42739.616666666669</v>
      </c>
      <c r="B30" s="10">
        <v>2111.4229999999998</v>
      </c>
      <c r="C30" s="11">
        <v>0.87857142857147408</v>
      </c>
      <c r="D30" s="11"/>
      <c r="E30" s="30">
        <f t="shared" si="1"/>
        <v>8.7150478261926292</v>
      </c>
      <c r="F30" s="11">
        <f t="shared" si="0"/>
        <v>9.7809523809523498</v>
      </c>
      <c r="G30" s="205">
        <f t="shared" si="2"/>
        <v>22592.226099999996</v>
      </c>
      <c r="H30" s="141">
        <f t="shared" si="3"/>
        <v>21824.777546832629</v>
      </c>
    </row>
    <row r="31" spans="1:12">
      <c r="A31" s="8">
        <v>42745.715277777781</v>
      </c>
      <c r="B31" s="10">
        <v>2268.1019999999999</v>
      </c>
      <c r="C31" s="11">
        <v>-6</v>
      </c>
      <c r="D31" s="11"/>
      <c r="E31" s="30">
        <f t="shared" si="1"/>
        <v>10.881179924843973</v>
      </c>
      <c r="F31" s="11">
        <f t="shared" si="0"/>
        <v>14.366666666666665</v>
      </c>
      <c r="G31" s="205">
        <f t="shared" si="2"/>
        <v>24268.691399999996</v>
      </c>
      <c r="H31" s="141">
        <f t="shared" si="3"/>
        <v>23927.578657944185</v>
      </c>
    </row>
    <row r="32" spans="1:12">
      <c r="A32" s="8">
        <v>42760.993055555555</v>
      </c>
      <c r="B32" s="10">
        <v>2652.4470000000001</v>
      </c>
      <c r="C32" s="11">
        <v>-4.3799999999999875</v>
      </c>
      <c r="D32" s="11"/>
      <c r="E32" s="30">
        <f t="shared" si="1"/>
        <v>10.65509161363919</v>
      </c>
      <c r="F32" s="11">
        <f t="shared" si="0"/>
        <v>13.28666666666666</v>
      </c>
      <c r="G32" s="205">
        <f t="shared" si="2"/>
        <v>28381.1829</v>
      </c>
      <c r="H32" s="141">
        <f t="shared" si="3"/>
        <v>28799.356435720671</v>
      </c>
    </row>
    <row r="33" spans="1:8">
      <c r="A33" s="8">
        <v>42818.740972222222</v>
      </c>
      <c r="B33" s="10">
        <v>3711.527</v>
      </c>
      <c r="C33" s="11">
        <v>3.0155172413793041</v>
      </c>
      <c r="D33" s="11"/>
      <c r="E33" s="30">
        <f t="shared" si="1"/>
        <v>7.7676310112196738</v>
      </c>
      <c r="F33" s="11">
        <f t="shared" si="0"/>
        <v>8.356321839080465</v>
      </c>
      <c r="G33" s="205">
        <f t="shared" si="2"/>
        <v>39713.338899999995</v>
      </c>
      <c r="H33" s="141">
        <f t="shared" si="3"/>
        <v>40380.80068859434</v>
      </c>
    </row>
    <row r="34" spans="1:8">
      <c r="A34" s="8">
        <v>42819.458333333336</v>
      </c>
      <c r="B34" s="10">
        <v>3721.3</v>
      </c>
      <c r="C34" s="11">
        <v>6.8000000000001819</v>
      </c>
      <c r="D34" s="11"/>
      <c r="E34" s="30">
        <f t="shared" si="1"/>
        <v>5.770138141313887</v>
      </c>
      <c r="F34" s="11">
        <f t="shared" si="0"/>
        <v>5.8333333333332122</v>
      </c>
      <c r="G34" s="205">
        <f t="shared" si="2"/>
        <v>39817.909999999996</v>
      </c>
      <c r="H34" s="141">
        <f t="shared" si="3"/>
        <v>40481.23124415028</v>
      </c>
    </row>
    <row r="35" spans="1:8">
      <c r="A35" s="8">
        <v>42855.416666666664</v>
      </c>
      <c r="B35" s="10">
        <v>4016.53</v>
      </c>
      <c r="C35" s="11">
        <v>8.6333333333333133</v>
      </c>
      <c r="D35" s="11"/>
      <c r="E35" s="30">
        <f t="shared" si="1"/>
        <v>3.4774194090387072</v>
      </c>
      <c r="F35" s="11">
        <f t="shared" si="0"/>
        <v>4.6111111111111249</v>
      </c>
      <c r="G35" s="205">
        <f t="shared" si="2"/>
        <v>42976.870999999999</v>
      </c>
      <c r="H35" s="141">
        <f t="shared" si="3"/>
        <v>44460.620133038647</v>
      </c>
    </row>
    <row r="36" spans="1:8">
      <c r="A36" s="8">
        <v>42875.468055555553</v>
      </c>
      <c r="B36" s="10">
        <v>4123.8999999999996</v>
      </c>
      <c r="C36" s="11">
        <v>13.179999999999973</v>
      </c>
      <c r="D36" s="11"/>
      <c r="E36" s="30">
        <f t="shared" si="1"/>
        <v>2.2679560504259579</v>
      </c>
      <c r="F36" s="11">
        <f t="shared" si="0"/>
        <v>1.7</v>
      </c>
      <c r="G36" s="205">
        <f t="shared" si="2"/>
        <v>44125.729999999996</v>
      </c>
      <c r="H36" s="141">
        <f t="shared" si="3"/>
        <v>45278.716799705318</v>
      </c>
    </row>
    <row r="37" spans="1:8">
      <c r="A37" s="8">
        <v>42969.604166666664</v>
      </c>
      <c r="B37" s="10">
        <v>4481.1840000000002</v>
      </c>
      <c r="C37" s="11">
        <v>19.441489361702118</v>
      </c>
      <c r="D37" s="11"/>
      <c r="E37" s="30">
        <f t="shared" si="1"/>
        <v>1.607509159314237</v>
      </c>
      <c r="F37" s="11">
        <f t="shared" si="0"/>
        <v>1.7</v>
      </c>
      <c r="G37" s="205">
        <f t="shared" si="2"/>
        <v>47948.668799999999</v>
      </c>
      <c r="H37" s="141">
        <f t="shared" si="3"/>
        <v>49119.470133038645</v>
      </c>
    </row>
    <row r="38" spans="1:8">
      <c r="A38" s="8">
        <v>43016.019444444442</v>
      </c>
      <c r="B38" s="10">
        <v>4710.7690000000002</v>
      </c>
      <c r="C38" s="11">
        <v>13.963829787234221</v>
      </c>
      <c r="D38" s="11"/>
      <c r="E38" s="30">
        <f t="shared" si="1"/>
        <v>2.0949742885783396</v>
      </c>
      <c r="F38" s="11">
        <f t="shared" si="0"/>
        <v>1.7</v>
      </c>
      <c r="G38" s="205">
        <f t="shared" si="2"/>
        <v>50405.228300000002</v>
      </c>
      <c r="H38" s="141">
        <f t="shared" si="3"/>
        <v>51013.213466371992</v>
      </c>
    </row>
    <row r="39" spans="1:8">
      <c r="A39" s="8">
        <v>43039.81527777778</v>
      </c>
      <c r="B39" s="10">
        <v>4954.2520000000004</v>
      </c>
      <c r="C39" s="11">
        <v>10.839130434782577</v>
      </c>
      <c r="D39" s="11"/>
      <c r="E39" s="30">
        <f t="shared" si="1"/>
        <v>4.3337501225697741</v>
      </c>
      <c r="F39" s="11">
        <f t="shared" si="0"/>
        <v>3.1405797101449489</v>
      </c>
      <c r="G39" s="205">
        <f t="shared" si="2"/>
        <v>53010.496400000004</v>
      </c>
      <c r="H39" s="141">
        <f t="shared" si="3"/>
        <v>52806.798538836061</v>
      </c>
    </row>
    <row r="40" spans="1:8">
      <c r="A40" s="8">
        <v>43097.885416666664</v>
      </c>
      <c r="B40" s="10">
        <v>6067.6530000000002</v>
      </c>
      <c r="C40" s="11">
        <v>3.4534482758621818</v>
      </c>
      <c r="D40" s="11"/>
      <c r="E40" s="30">
        <f t="shared" si="1"/>
        <v>8.1207264909538157</v>
      </c>
      <c r="F40" s="11">
        <f t="shared" si="0"/>
        <v>8.0643678160918775</v>
      </c>
      <c r="G40" s="205">
        <f t="shared" si="2"/>
        <v>64923.8871</v>
      </c>
      <c r="H40" s="141">
        <f t="shared" si="3"/>
        <v>64045.973557992227</v>
      </c>
    </row>
    <row r="41" spans="1:8">
      <c r="A41" s="8">
        <v>43121.738888888889</v>
      </c>
      <c r="B41" s="10">
        <v>6513.5349999999999</v>
      </c>
      <c r="C41" s="11">
        <v>3.0833333333333335</v>
      </c>
      <c r="D41" s="11"/>
      <c r="E41" s="30">
        <f t="shared" si="1"/>
        <v>7.9170698360933427</v>
      </c>
      <c r="F41" s="11">
        <f t="shared" si="0"/>
        <v>8.31111111111111</v>
      </c>
      <c r="G41" s="205">
        <f t="shared" si="2"/>
        <v>69694.824499999988</v>
      </c>
      <c r="H41" s="141">
        <f t="shared" si="3"/>
        <v>68803.94615058534</v>
      </c>
    </row>
    <row r="42" spans="1:8">
      <c r="A42" s="8">
        <v>43163.362500000003</v>
      </c>
      <c r="B42" s="10">
        <v>7318.13</v>
      </c>
      <c r="C42" s="11">
        <v>-1.0666666666667359</v>
      </c>
      <c r="D42" s="11"/>
      <c r="E42" s="30">
        <f t="shared" si="1"/>
        <v>8.1871682488566133</v>
      </c>
      <c r="F42" s="11">
        <f t="shared" si="0"/>
        <v>11.077777777777824</v>
      </c>
      <c r="G42" s="205">
        <f t="shared" si="2"/>
        <v>78303.990999999995</v>
      </c>
      <c r="H42" s="141">
        <f t="shared" si="3"/>
        <v>79870.276891326852</v>
      </c>
    </row>
    <row r="43" spans="1:8">
      <c r="A43" s="8">
        <v>43169.772222222222</v>
      </c>
      <c r="B43" s="10">
        <v>7453.2619999999997</v>
      </c>
      <c r="C43" s="11">
        <v>3.2500000000003033</v>
      </c>
      <c r="D43" s="11"/>
      <c r="E43" s="30">
        <f t="shared" si="1"/>
        <v>8.9292531744356793</v>
      </c>
      <c r="F43" s="11">
        <f t="shared" si="0"/>
        <v>8.1999999999997968</v>
      </c>
      <c r="G43" s="205">
        <f t="shared" si="2"/>
        <v>79749.903399999996</v>
      </c>
      <c r="H43" s="141">
        <f t="shared" si="3"/>
        <v>81131.710224659517</v>
      </c>
    </row>
    <row r="44" spans="1:8">
      <c r="A44" s="8">
        <v>43172.538194444445</v>
      </c>
      <c r="B44" s="10">
        <v>7492.45</v>
      </c>
      <c r="C44" s="11">
        <v>8.7666666666670299</v>
      </c>
      <c r="D44" s="11"/>
      <c r="E44" s="30">
        <f t="shared" si="1"/>
        <v>6.0006932462943201</v>
      </c>
      <c r="F44" s="11">
        <f t="shared" si="0"/>
        <v>4.5222222222219806</v>
      </c>
      <c r="G44" s="205">
        <f t="shared" si="2"/>
        <v>80169.214999999997</v>
      </c>
      <c r="H44" s="141">
        <f t="shared" si="3"/>
        <v>81431.910409844815</v>
      </c>
    </row>
    <row r="45" spans="1:8">
      <c r="A45" s="8">
        <v>43190.770833333336</v>
      </c>
      <c r="B45" s="10">
        <v>7827.4120000000003</v>
      </c>
      <c r="C45" s="11">
        <v>2.111111111111212</v>
      </c>
      <c r="D45" s="11"/>
      <c r="E45" s="30">
        <f t="shared" si="1"/>
        <v>7.7811206932006129</v>
      </c>
      <c r="F45" s="11">
        <f t="shared" si="0"/>
        <v>8.9592592592591913</v>
      </c>
      <c r="G45" s="205">
        <f t="shared" si="2"/>
        <v>83753.308399999994</v>
      </c>
      <c r="H45" s="141">
        <f t="shared" si="3"/>
        <v>85352.332940709326</v>
      </c>
    </row>
    <row r="46" spans="1:8">
      <c r="A46" s="8">
        <v>43191.458333333336</v>
      </c>
      <c r="B46" s="10">
        <v>7834.2870000000003</v>
      </c>
      <c r="C46" s="11">
        <v>5.7999999999992724</v>
      </c>
      <c r="D46" s="11"/>
      <c r="E46" s="30">
        <f t="shared" si="1"/>
        <v>4.2354166666666666</v>
      </c>
      <c r="F46" s="11">
        <f t="shared" si="0"/>
        <v>6.5000000000004849</v>
      </c>
      <c r="G46" s="205">
        <f t="shared" si="2"/>
        <v>83826.870899999994</v>
      </c>
      <c r="H46" s="141">
        <f t="shared" si="3"/>
        <v>85459.582940709341</v>
      </c>
    </row>
    <row r="47" spans="1:8">
      <c r="A47" s="8">
        <v>43216.587500000001</v>
      </c>
      <c r="B47" s="10">
        <v>7970.7669999999998</v>
      </c>
      <c r="C47" s="11">
        <v>13.652000000000044</v>
      </c>
      <c r="D47" s="11"/>
      <c r="E47" s="30">
        <f t="shared" si="1"/>
        <v>2.3003137124855728</v>
      </c>
      <c r="F47" s="11">
        <f t="shared" si="0"/>
        <v>1.7</v>
      </c>
      <c r="G47" s="205">
        <f t="shared" si="2"/>
        <v>85287.20689999999</v>
      </c>
      <c r="H47" s="141">
        <f t="shared" si="3"/>
        <v>86484.852940709301</v>
      </c>
    </row>
    <row r="48" spans="1:8">
      <c r="A48" s="8">
        <v>43237.709722222222</v>
      </c>
      <c r="B48" s="10">
        <v>8071.3410000000003</v>
      </c>
      <c r="C48" s="11">
        <v>15.804761904761801</v>
      </c>
      <c r="D48" s="11"/>
      <c r="E48" s="30">
        <f t="shared" si="1"/>
        <v>2.0167044516045989</v>
      </c>
      <c r="F48" s="11">
        <f t="shared" si="0"/>
        <v>1.7</v>
      </c>
      <c r="G48" s="205">
        <f t="shared" si="2"/>
        <v>86363.348700000002</v>
      </c>
      <c r="H48" s="141">
        <f t="shared" si="3"/>
        <v>87346.639607375895</v>
      </c>
    </row>
    <row r="49" spans="1:12">
      <c r="A49" s="8">
        <v>43255.576388888891</v>
      </c>
      <c r="B49" s="10">
        <v>8153.5609999999997</v>
      </c>
      <c r="C49" s="11">
        <v>19.511111111111251</v>
      </c>
      <c r="D49" s="11"/>
      <c r="E49" s="30">
        <f t="shared" si="1"/>
        <v>1.9490818563430563</v>
      </c>
      <c r="F49" s="11">
        <f t="shared" si="0"/>
        <v>1.7</v>
      </c>
      <c r="G49" s="205">
        <f t="shared" si="2"/>
        <v>87243.102699999989</v>
      </c>
      <c r="H49" s="141">
        <f t="shared" si="3"/>
        <v>88075.599607375974</v>
      </c>
    </row>
    <row r="50" spans="1:12">
      <c r="A50" s="8">
        <v>43338.46875</v>
      </c>
      <c r="B50" s="10">
        <v>8497.7119999999995</v>
      </c>
      <c r="C50" s="11">
        <v>21.069879518072213</v>
      </c>
      <c r="D50" s="11"/>
      <c r="E50" s="30">
        <f t="shared" si="1"/>
        <v>1.7584526025217104</v>
      </c>
      <c r="F50" s="11">
        <f t="shared" si="0"/>
        <v>1.7</v>
      </c>
      <c r="G50" s="205">
        <f t="shared" si="2"/>
        <v>90925.518399999986</v>
      </c>
      <c r="H50" s="141">
        <f t="shared" si="3"/>
        <v>91457.607940709247</v>
      </c>
    </row>
    <row r="51" spans="1:12">
      <c r="A51" s="8">
        <v>43368.458333333336</v>
      </c>
      <c r="B51" s="10">
        <v>8613.64</v>
      </c>
      <c r="C51" s="11">
        <v>17.550000000000061</v>
      </c>
      <c r="D51" s="11"/>
      <c r="E51" s="30">
        <f t="shared" si="1"/>
        <v>1.6372464327890286</v>
      </c>
      <c r="F51" s="11">
        <f t="shared" si="0"/>
        <v>1.7</v>
      </c>
      <c r="G51" s="205">
        <f t="shared" si="2"/>
        <v>92165.947999999989</v>
      </c>
      <c r="H51" s="141">
        <f t="shared" si="3"/>
        <v>92681.182940709346</v>
      </c>
    </row>
    <row r="52" spans="1:12">
      <c r="A52" s="8">
        <v>43394.470138888886</v>
      </c>
      <c r="B52" s="10">
        <v>8759.125</v>
      </c>
      <c r="C52" s="11">
        <v>11.761538461538574</v>
      </c>
      <c r="D52" s="11"/>
      <c r="E52" s="30">
        <f t="shared" si="1"/>
        <v>2.3688843607341212</v>
      </c>
      <c r="F52" s="11">
        <f t="shared" si="0"/>
        <v>2.5256410256409505</v>
      </c>
      <c r="G52" s="205">
        <f t="shared" si="2"/>
        <v>93722.637499999997</v>
      </c>
      <c r="H52" s="141">
        <f t="shared" si="3"/>
        <v>94257.89853899958</v>
      </c>
    </row>
    <row r="53" spans="1:12">
      <c r="A53" s="9">
        <v>43403.694444444445</v>
      </c>
      <c r="B53" s="10">
        <v>8845.2939999999999</v>
      </c>
      <c r="C53" s="11">
        <v>8.7111111111108688</v>
      </c>
      <c r="D53" s="11"/>
      <c r="E53" s="30">
        <f t="shared" si="1"/>
        <v>3.9565213505969767</v>
      </c>
      <c r="F53" s="11">
        <f t="shared" si="0"/>
        <v>4.559259259259421</v>
      </c>
      <c r="G53" s="205">
        <f t="shared" si="2"/>
        <v>94644.645799999998</v>
      </c>
      <c r="H53" s="141">
        <f t="shared" si="3"/>
        <v>95267.242551345684</v>
      </c>
    </row>
    <row r="54" spans="1:12">
      <c r="A54" s="9">
        <v>43413.487500000003</v>
      </c>
      <c r="B54" s="10">
        <v>8945.2849999999999</v>
      </c>
      <c r="C54" s="11">
        <v>9.5199999999998912</v>
      </c>
      <c r="D54" s="11"/>
      <c r="E54" s="30">
        <f t="shared" si="1"/>
        <v>4.3245292086219616</v>
      </c>
      <c r="F54" s="11">
        <f t="shared" si="0"/>
        <v>4.0200000000000724</v>
      </c>
      <c r="G54" s="205">
        <f t="shared" si="2"/>
        <v>95714.549499999994</v>
      </c>
      <c r="H54" s="141">
        <f t="shared" si="3"/>
        <v>96212.076551345905</v>
      </c>
    </row>
    <row r="55" spans="1:12">
      <c r="A55" s="9">
        <v>43419.815972222219</v>
      </c>
      <c r="B55" s="10">
        <v>9011.3459999999995</v>
      </c>
      <c r="C55" s="11">
        <v>7.3333333333336368</v>
      </c>
      <c r="D55" s="11"/>
      <c r="E55" s="30">
        <f t="shared" si="1"/>
        <v>4.421222857460652</v>
      </c>
      <c r="F55" s="11">
        <f t="shared" si="0"/>
        <v>5.4777777777775754</v>
      </c>
      <c r="G55" s="205">
        <f t="shared" si="2"/>
        <v>96421.402199999982</v>
      </c>
      <c r="H55" s="141">
        <f t="shared" si="3"/>
        <v>97044.059699493213</v>
      </c>
    </row>
    <row r="56" spans="1:12">
      <c r="A56" s="9">
        <v>43422.942361111112</v>
      </c>
      <c r="B56" s="10">
        <v>9058.9940000000006</v>
      </c>
      <c r="C56" s="11">
        <v>0.56666666666690924</v>
      </c>
      <c r="D56" s="11"/>
      <c r="E56" s="30">
        <f t="shared" si="1"/>
        <v>6.4550233673830641</v>
      </c>
      <c r="F56" s="11">
        <f t="shared" si="0"/>
        <v>9.9888888888887255</v>
      </c>
      <c r="G56" s="205">
        <f t="shared" si="2"/>
        <v>96931.235799999995</v>
      </c>
      <c r="H56" s="141">
        <f t="shared" si="3"/>
        <v>97793.55932912392</v>
      </c>
    </row>
    <row r="57" spans="1:12">
      <c r="A57" s="15">
        <v>43427.918749999997</v>
      </c>
      <c r="B57" s="16">
        <v>9163.7420000000002</v>
      </c>
      <c r="C57" s="11">
        <v>1.4400000000001456</v>
      </c>
      <c r="D57" s="11"/>
      <c r="E57" s="30">
        <f t="shared" si="1"/>
        <v>8.9151277142134688</v>
      </c>
      <c r="F57" s="11">
        <f t="shared" si="0"/>
        <v>9.4066666666665686</v>
      </c>
      <c r="G57" s="205">
        <f t="shared" si="2"/>
        <v>98052.039399999994</v>
      </c>
      <c r="H57" s="141">
        <f t="shared" si="3"/>
        <v>98917.028884678512</v>
      </c>
    </row>
    <row r="58" spans="1:12">
      <c r="A58" s="15">
        <v>43451.541666666664</v>
      </c>
      <c r="B58" s="16">
        <v>9618.1049999999996</v>
      </c>
      <c r="C58" s="11">
        <v>1.5541666666664848</v>
      </c>
      <c r="D58" s="11"/>
      <c r="E58" s="30">
        <f t="shared" si="1"/>
        <v>8.1463972043388289</v>
      </c>
      <c r="F58" s="11">
        <f t="shared" si="0"/>
        <v>9.3305555555556765</v>
      </c>
      <c r="G58" s="205">
        <f t="shared" si="2"/>
        <v>102913.72349999999</v>
      </c>
      <c r="H58" s="141">
        <f t="shared" si="3"/>
        <v>104206.98735690091</v>
      </c>
    </row>
    <row r="59" spans="1:12">
      <c r="A59" s="15">
        <v>43458.843055555553</v>
      </c>
      <c r="B59" s="16">
        <v>9757.4629999999997</v>
      </c>
      <c r="C59" s="11">
        <v>3.799999999999792</v>
      </c>
      <c r="D59" s="11"/>
      <c r="E59" s="30">
        <f t="shared" si="1"/>
        <v>8.0839303975649806</v>
      </c>
      <c r="F59" s="11">
        <f t="shared" si="0"/>
        <v>7.8333333333334725</v>
      </c>
      <c r="G59" s="205">
        <f t="shared" si="2"/>
        <v>104404.8541</v>
      </c>
      <c r="H59" s="141">
        <f t="shared" si="3"/>
        <v>105579.64846801208</v>
      </c>
    </row>
    <row r="60" spans="1:12">
      <c r="A60" s="15">
        <v>43459.817361111112</v>
      </c>
      <c r="B60" s="16">
        <v>9772.7780000000002</v>
      </c>
      <c r="C60" s="11">
        <v>2.8999999999996362</v>
      </c>
      <c r="D60" s="11"/>
      <c r="E60" s="30">
        <f t="shared" si="1"/>
        <v>6.6576040626986517</v>
      </c>
      <c r="F60" s="11">
        <f t="shared" si="0"/>
        <v>8.4333333333335752</v>
      </c>
      <c r="G60" s="205">
        <f t="shared" si="2"/>
        <v>104568.7246</v>
      </c>
      <c r="H60" s="141">
        <f t="shared" si="3"/>
        <v>105776.84791245725</v>
      </c>
    </row>
    <row r="61" spans="1:12">
      <c r="A61" s="15">
        <v>43467.469444444447</v>
      </c>
      <c r="B61" s="16">
        <v>9891.5159999999996</v>
      </c>
      <c r="C61" s="11">
        <v>4.0249999999998636</v>
      </c>
      <c r="D61" s="11"/>
      <c r="E61" s="30">
        <f t="shared" si="1"/>
        <v>6.5721305200100204</v>
      </c>
      <c r="F61" s="11">
        <f t="shared" si="0"/>
        <v>7.6833333333334242</v>
      </c>
      <c r="G61" s="205">
        <f t="shared" si="2"/>
        <v>105839.22119999999</v>
      </c>
      <c r="H61" s="141">
        <f t="shared" si="3"/>
        <v>107187.89207912411</v>
      </c>
    </row>
    <row r="62" spans="1:12">
      <c r="A62" s="15">
        <v>43468.955555555556</v>
      </c>
      <c r="B62" s="16">
        <v>9917.6790000000001</v>
      </c>
      <c r="C62" s="11">
        <v>-2.2000000000007276</v>
      </c>
      <c r="D62" s="11"/>
      <c r="E62" s="30">
        <f t="shared" si="1"/>
        <v>7.4564550000082441</v>
      </c>
      <c r="F62" s="11">
        <f t="shared" si="0"/>
        <v>11.833333333333817</v>
      </c>
      <c r="G62" s="205">
        <f t="shared" si="2"/>
        <v>106119.16529999999</v>
      </c>
      <c r="H62" s="141">
        <f t="shared" si="3"/>
        <v>107609.94763467922</v>
      </c>
    </row>
    <row r="63" spans="1:12">
      <c r="A63" s="111">
        <v>43484.676388888889</v>
      </c>
      <c r="B63" s="112">
        <v>10200.871999999999</v>
      </c>
      <c r="C63" s="113">
        <v>1.3937500000000682</v>
      </c>
      <c r="D63" s="109"/>
      <c r="E63" s="30">
        <f t="shared" ref="E63:E80" si="4">(B63-B62)*10.7/(A63-A62)/24*E$3</f>
        <v>7.6296232308509975</v>
      </c>
      <c r="F63" s="109">
        <f t="shared" si="0"/>
        <v>9.4374999999999538</v>
      </c>
      <c r="G63" s="205">
        <f t="shared" si="2"/>
        <v>109149.33039999999</v>
      </c>
      <c r="H63" s="141">
        <f t="shared" si="3"/>
        <v>111170.71638467909</v>
      </c>
    </row>
    <row r="64" spans="1:12">
      <c r="A64" s="111">
        <v>43488.499305555553</v>
      </c>
      <c r="B64" s="112">
        <v>10295.307000000001</v>
      </c>
      <c r="C64" s="113">
        <v>-5.1000000000003638</v>
      </c>
      <c r="D64" s="109"/>
      <c r="E64" s="30">
        <f t="shared" si="4"/>
        <v>10.462471662132122</v>
      </c>
      <c r="F64" s="109">
        <f t="shared" si="0"/>
        <v>13.766666666666909</v>
      </c>
      <c r="G64" s="205">
        <f t="shared" si="2"/>
        <v>110159.7849</v>
      </c>
      <c r="H64" s="141">
        <f t="shared" si="3"/>
        <v>112433.80805134498</v>
      </c>
      <c r="L64" s="2">
        <v>85</v>
      </c>
    </row>
    <row r="65" spans="1:8">
      <c r="A65" s="111">
        <v>43494.290277777778</v>
      </c>
      <c r="B65" s="112">
        <v>10442.873</v>
      </c>
      <c r="C65" s="113">
        <v>8.3333333333030168E-2</v>
      </c>
      <c r="D65" s="109"/>
      <c r="E65" s="30">
        <f t="shared" si="4"/>
        <v>10.792721357472011</v>
      </c>
      <c r="F65" s="109">
        <f t="shared" si="0"/>
        <v>10.311111111111313</v>
      </c>
      <c r="G65" s="205">
        <f t="shared" si="2"/>
        <v>111738.74109999998</v>
      </c>
      <c r="H65" s="141">
        <f t="shared" si="3"/>
        <v>113866.88064393825</v>
      </c>
    </row>
    <row r="66" spans="1:8">
      <c r="A66" s="111">
        <v>43509.333333333336</v>
      </c>
      <c r="B66" s="112">
        <v>10780.871999999999</v>
      </c>
      <c r="C66" s="113">
        <v>1.1066666666666909</v>
      </c>
      <c r="D66" s="109"/>
      <c r="E66" s="30">
        <f t="shared" si="4"/>
        <v>9.5164615501787022</v>
      </c>
      <c r="F66" s="109">
        <f t="shared" si="0"/>
        <v>9.6288888888888735</v>
      </c>
      <c r="G66" s="205">
        <f t="shared" si="2"/>
        <v>115355.33039999999</v>
      </c>
      <c r="H66" s="141">
        <f t="shared" si="3"/>
        <v>117343.23049579057</v>
      </c>
    </row>
    <row r="67" spans="1:8">
      <c r="A67" s="111">
        <v>43534.354861111111</v>
      </c>
      <c r="B67" s="112">
        <v>11200.67</v>
      </c>
      <c r="C67" s="113">
        <v>5.4120000000000434</v>
      </c>
      <c r="D67" s="109"/>
      <c r="E67" s="30">
        <f t="shared" si="4"/>
        <v>7.1059587632879158</v>
      </c>
      <c r="F67" s="109">
        <f t="shared" si="0"/>
        <v>6.7586666666666382</v>
      </c>
      <c r="G67" s="205">
        <f t="shared" si="2"/>
        <v>119847.16899999999</v>
      </c>
      <c r="H67" s="141">
        <f t="shared" si="3"/>
        <v>121401.92247356792</v>
      </c>
    </row>
    <row r="68" spans="1:8">
      <c r="A68" s="111">
        <v>43540.474305555559</v>
      </c>
      <c r="B68" s="112">
        <v>11294.218000000001</v>
      </c>
      <c r="C68" s="113">
        <v>5.8333333333330302</v>
      </c>
      <c r="D68" s="109"/>
      <c r="E68" s="30">
        <f t="shared" si="4"/>
        <v>6.4746851112080961</v>
      </c>
      <c r="F68" s="109">
        <f t="shared" si="0"/>
        <v>6.4777777777779804</v>
      </c>
      <c r="G68" s="205">
        <f t="shared" si="2"/>
        <v>120848.1326</v>
      </c>
      <c r="H68" s="141">
        <f t="shared" si="3"/>
        <v>122353.29210319815</v>
      </c>
    </row>
    <row r="69" spans="1:8">
      <c r="A69" s="111">
        <v>43559.373611111114</v>
      </c>
      <c r="B69" s="112">
        <v>11486.57</v>
      </c>
      <c r="C69" s="113">
        <v>8.4578947368420483</v>
      </c>
      <c r="D69" s="109"/>
      <c r="E69" s="30">
        <f t="shared" si="4"/>
        <v>4.3106920742239341</v>
      </c>
      <c r="F69" s="109">
        <f t="shared" si="0"/>
        <v>4.7280701754386341</v>
      </c>
      <c r="G69" s="205">
        <f t="shared" si="2"/>
        <v>122906.29899999998</v>
      </c>
      <c r="H69" s="141">
        <f t="shared" si="3"/>
        <v>124497.86593360743</v>
      </c>
    </row>
    <row r="70" spans="1:8">
      <c r="A70" s="111">
        <v>43652.401388888888</v>
      </c>
      <c r="B70" s="112">
        <v>11920.974</v>
      </c>
      <c r="C70" s="113">
        <v>15.416129032258072</v>
      </c>
      <c r="D70" s="109"/>
      <c r="E70" s="30">
        <f t="shared" si="4"/>
        <v>1.9777769453569105</v>
      </c>
      <c r="F70" s="109">
        <f t="shared" ref="F70:F133" si="5">F$1+(IF(F$3-$C70&gt;0,F$3-$C70,0)*F$2/30)</f>
        <v>1.7</v>
      </c>
      <c r="G70" s="205">
        <f t="shared" si="2"/>
        <v>127554.4218</v>
      </c>
      <c r="H70" s="141">
        <f t="shared" si="3"/>
        <v>128293.3992669406</v>
      </c>
    </row>
    <row r="71" spans="1:8">
      <c r="A71" s="111">
        <v>43686.491666666669</v>
      </c>
      <c r="B71" s="112">
        <v>12023.942999999999</v>
      </c>
      <c r="C71" s="113">
        <v>20.258823529411849</v>
      </c>
      <c r="D71" s="109"/>
      <c r="E71" s="30">
        <f t="shared" si="4"/>
        <v>1.2792991057240479</v>
      </c>
      <c r="F71" s="109">
        <f t="shared" si="5"/>
        <v>1.7</v>
      </c>
      <c r="G71" s="205">
        <f t="shared" si="2"/>
        <v>128656.19009999998</v>
      </c>
      <c r="H71" s="141">
        <f t="shared" si="3"/>
        <v>129684.28260027406</v>
      </c>
    </row>
    <row r="72" spans="1:8">
      <c r="A72" s="111">
        <v>43724.661111111112</v>
      </c>
      <c r="B72" s="112">
        <v>12150.746999999999</v>
      </c>
      <c r="C72" s="113">
        <v>18.484210526315636</v>
      </c>
      <c r="D72" s="109"/>
      <c r="E72" s="30">
        <f t="shared" si="4"/>
        <v>1.4070620697183855</v>
      </c>
      <c r="F72" s="109">
        <f t="shared" si="5"/>
        <v>1.7</v>
      </c>
      <c r="G72" s="205">
        <f t="shared" si="2"/>
        <v>130012.99289999998</v>
      </c>
      <c r="H72" s="141">
        <f t="shared" si="3"/>
        <v>131241.59593360737</v>
      </c>
    </row>
    <row r="73" spans="1:8">
      <c r="A73" s="111">
        <v>43743.465277777781</v>
      </c>
      <c r="B73" s="112">
        <v>12233.929</v>
      </c>
      <c r="C73" s="113">
        <v>12.905263157894584</v>
      </c>
      <c r="D73" s="109"/>
      <c r="E73" s="30">
        <f t="shared" si="4"/>
        <v>1.8735764015065806</v>
      </c>
      <c r="F73" s="109">
        <f t="shared" si="5"/>
        <v>1.7631578947369437</v>
      </c>
      <c r="G73" s="205">
        <f t="shared" si="2"/>
        <v>130903.04029999999</v>
      </c>
      <c r="H73" s="141">
        <f t="shared" si="3"/>
        <v>132037.30909150225</v>
      </c>
    </row>
    <row r="74" spans="1:8">
      <c r="A74" s="111">
        <v>43753.881944444445</v>
      </c>
      <c r="B74" s="112">
        <v>12325.909</v>
      </c>
      <c r="C74" s="113">
        <v>11.459999999999855</v>
      </c>
      <c r="D74" s="109"/>
      <c r="E74" s="30">
        <f t="shared" si="4"/>
        <v>3.7399068000008526</v>
      </c>
      <c r="F74" s="109">
        <f t="shared" si="5"/>
        <v>2.7266666666667634</v>
      </c>
      <c r="G74" s="205">
        <f t="shared" si="2"/>
        <v>131887.22629999998</v>
      </c>
      <c r="H74" s="141">
        <f t="shared" si="3"/>
        <v>132718.97575816879</v>
      </c>
    </row>
    <row r="75" spans="1:8">
      <c r="A75" s="111">
        <v>43767.864583333336</v>
      </c>
      <c r="B75" s="112">
        <v>12417.692999999999</v>
      </c>
      <c r="C75" s="113">
        <v>11.13571428571387</v>
      </c>
      <c r="D75" s="109"/>
      <c r="E75" s="30">
        <f t="shared" si="4"/>
        <v>2.780186818971607</v>
      </c>
      <c r="F75" s="109">
        <f t="shared" si="5"/>
        <v>2.9428571428574197</v>
      </c>
      <c r="G75" s="205">
        <f t="shared" si="2"/>
        <v>132869.31509999998</v>
      </c>
      <c r="H75" s="141">
        <f t="shared" si="3"/>
        <v>133706.5495676928</v>
      </c>
    </row>
    <row r="76" spans="1:8">
      <c r="A76" s="111">
        <v>43777.332638888889</v>
      </c>
      <c r="B76" s="112">
        <v>12538.898999999999</v>
      </c>
      <c r="C76" s="113">
        <v>6.6200000000000729</v>
      </c>
      <c r="D76" s="109"/>
      <c r="E76" s="30">
        <f t="shared" si="4"/>
        <v>5.4219993692253006</v>
      </c>
      <c r="F76" s="109">
        <f t="shared" si="5"/>
        <v>5.9533333333332852</v>
      </c>
      <c r="G76" s="205">
        <f t="shared" si="2"/>
        <v>134166.2193</v>
      </c>
      <c r="H76" s="141">
        <f t="shared" si="3"/>
        <v>135059.34534547024</v>
      </c>
    </row>
    <row r="77" spans="1:8">
      <c r="A77" s="111">
        <v>43778.408333333333</v>
      </c>
      <c r="B77" s="112">
        <v>12551.904</v>
      </c>
      <c r="C77" s="113">
        <v>6.2999999999992724</v>
      </c>
      <c r="D77" s="109"/>
      <c r="E77" s="30">
        <f t="shared" si="4"/>
        <v>5.1205613298937305</v>
      </c>
      <c r="F77" s="109">
        <f t="shared" si="5"/>
        <v>6.1666666666671519</v>
      </c>
      <c r="G77" s="205">
        <f t="shared" si="2"/>
        <v>134305.37279999998</v>
      </c>
      <c r="H77" s="141">
        <f t="shared" si="3"/>
        <v>135218.54812324792</v>
      </c>
    </row>
    <row r="78" spans="1:8">
      <c r="A78" s="111">
        <v>43846.884722222225</v>
      </c>
      <c r="B78" s="112">
        <v>13808.753000000001</v>
      </c>
      <c r="C78" s="113">
        <v>3.5529411764702994</v>
      </c>
      <c r="D78" s="109"/>
      <c r="E78" s="30">
        <f t="shared" si="4"/>
        <v>7.7738900786966889</v>
      </c>
      <c r="F78" s="109">
        <f t="shared" si="5"/>
        <v>7.9980392156864681</v>
      </c>
      <c r="G78" s="205">
        <f t="shared" si="2"/>
        <v>147753.65710000001</v>
      </c>
      <c r="H78" s="141">
        <f t="shared" si="3"/>
        <v>148362.79237161484</v>
      </c>
    </row>
    <row r="79" spans="1:8">
      <c r="A79" s="111">
        <v>43864.794444444444</v>
      </c>
      <c r="B79" s="112">
        <v>14149.803</v>
      </c>
      <c r="C79" s="113">
        <v>2.6944444444442421</v>
      </c>
      <c r="D79" s="109"/>
      <c r="E79" s="30">
        <f t="shared" si="4"/>
        <v>8.0653894920526206</v>
      </c>
      <c r="F79" s="109">
        <f t="shared" si="5"/>
        <v>8.5703703703705045</v>
      </c>
      <c r="G79" s="205">
        <f t="shared" si="2"/>
        <v>151402.8921</v>
      </c>
      <c r="H79" s="141">
        <f t="shared" si="3"/>
        <v>152046.62323581177</v>
      </c>
    </row>
    <row r="80" spans="1:8">
      <c r="A80" s="111">
        <v>43893.530555555553</v>
      </c>
      <c r="B80" s="112">
        <v>14633.368</v>
      </c>
      <c r="C80" s="113">
        <v>4.9827586206899062</v>
      </c>
      <c r="D80" s="109"/>
      <c r="E80" s="30">
        <f t="shared" si="4"/>
        <v>7.1272666384730998</v>
      </c>
      <c r="F80" s="109">
        <f t="shared" si="5"/>
        <v>7.0448275862067291</v>
      </c>
      <c r="G80" s="205">
        <f t="shared" si="2"/>
        <v>156577.03759999998</v>
      </c>
      <c r="H80" s="141">
        <f t="shared" si="3"/>
        <v>156905.20599443206</v>
      </c>
    </row>
    <row r="81" spans="1:8">
      <c r="A81" s="194">
        <v>43924.53125</v>
      </c>
      <c r="B81" s="196">
        <v>15000</v>
      </c>
      <c r="C81" s="113">
        <v>4.9225806451612435</v>
      </c>
      <c r="D81" s="141"/>
      <c r="E81" s="152">
        <f t="shared" ref="E81:E140" si="6">(B81-B80)*10.7/(A81-A80)/24*E$3</f>
        <v>5.009046768665204</v>
      </c>
      <c r="F81" s="141">
        <f t="shared" si="5"/>
        <v>7.0849462365591709</v>
      </c>
      <c r="G81" s="205">
        <f t="shared" si="2"/>
        <v>160500</v>
      </c>
      <c r="H81" s="141">
        <f t="shared" si="3"/>
        <v>162176.52407686974</v>
      </c>
    </row>
    <row r="82" spans="1:8">
      <c r="A82" s="12">
        <v>44071.548611111109</v>
      </c>
      <c r="B82" s="141">
        <v>15588.253000000001</v>
      </c>
      <c r="C82" s="113">
        <v>16.3408163265307</v>
      </c>
      <c r="D82" s="141"/>
      <c r="E82" s="152">
        <f t="shared" si="6"/>
        <v>1.6946954710564432</v>
      </c>
      <c r="F82" s="141">
        <f t="shared" si="5"/>
        <v>1.7</v>
      </c>
      <c r="G82" s="205">
        <f t="shared" si="2"/>
        <v>166794.30710000001</v>
      </c>
      <c r="H82" s="141">
        <f t="shared" si="3"/>
        <v>168174.832410203</v>
      </c>
    </row>
    <row r="83" spans="1:8">
      <c r="A83" s="195">
        <v>44078.701388888891</v>
      </c>
      <c r="B83" s="141">
        <v>15611.412</v>
      </c>
      <c r="C83" s="113">
        <v>16.228571428571222</v>
      </c>
      <c r="D83" s="141"/>
      <c r="E83" s="152">
        <f t="shared" si="6"/>
        <v>1.3713275825236311</v>
      </c>
      <c r="F83" s="141">
        <f t="shared" si="5"/>
        <v>1.7</v>
      </c>
      <c r="G83" s="205">
        <f t="shared" si="2"/>
        <v>167042.1084</v>
      </c>
      <c r="H83" s="141">
        <f t="shared" si="3"/>
        <v>168466.66574353646</v>
      </c>
    </row>
    <row r="84" spans="1:8">
      <c r="A84" s="12">
        <v>44096.444444444445</v>
      </c>
      <c r="B84" s="141">
        <v>15666.409</v>
      </c>
      <c r="C84" s="113">
        <v>17.422222222222143</v>
      </c>
      <c r="D84" s="141"/>
      <c r="E84" s="152">
        <f t="shared" si="6"/>
        <v>1.3128246692759744</v>
      </c>
      <c r="F84" s="141">
        <f t="shared" si="5"/>
        <v>1.7</v>
      </c>
      <c r="G84" s="205">
        <f t="shared" si="2"/>
        <v>167630.57629999999</v>
      </c>
      <c r="H84" s="141">
        <f t="shared" si="3"/>
        <v>169190.58241020309</v>
      </c>
    </row>
    <row r="85" spans="1:8">
      <c r="A85" s="12">
        <v>44098.759722222225</v>
      </c>
      <c r="B85" s="141">
        <v>15675.227999999999</v>
      </c>
      <c r="C85" s="113">
        <v>17.899999999999636</v>
      </c>
      <c r="D85" s="141"/>
      <c r="E85" s="152">
        <f t="shared" si="6"/>
        <v>1.6132897720442609</v>
      </c>
      <c r="F85" s="141">
        <f t="shared" si="5"/>
        <v>1.7</v>
      </c>
      <c r="G85" s="205">
        <f t="shared" si="2"/>
        <v>167724.93959999998</v>
      </c>
      <c r="H85" s="141">
        <f t="shared" si="3"/>
        <v>169285.0457435365</v>
      </c>
    </row>
    <row r="86" spans="1:8">
      <c r="A86" s="12">
        <v>44101.768750000003</v>
      </c>
      <c r="B86" s="141">
        <v>15698.91</v>
      </c>
      <c r="C86" s="113">
        <v>9.8666666666661822</v>
      </c>
      <c r="D86" s="141"/>
      <c r="E86" s="152">
        <f t="shared" si="6"/>
        <v>3.3334068312944547</v>
      </c>
      <c r="F86" s="141">
        <f t="shared" si="5"/>
        <v>3.788888888889212</v>
      </c>
      <c r="G86" s="205">
        <f t="shared" ref="G86:G149" si="7">B86*10.7</f>
        <v>167978.337</v>
      </c>
      <c r="H86" s="141">
        <f t="shared" si="3"/>
        <v>169558.66666946249</v>
      </c>
    </row>
    <row r="87" spans="1:8">
      <c r="A87" s="12">
        <v>44103.455555555556</v>
      </c>
      <c r="B87" s="141">
        <v>15719.638999999999</v>
      </c>
      <c r="C87" s="113">
        <v>8.9499999999989086</v>
      </c>
      <c r="D87" s="141"/>
      <c r="E87" s="152">
        <f t="shared" si="6"/>
        <v>5.2048650061822048</v>
      </c>
      <c r="F87" s="141">
        <f t="shared" si="5"/>
        <v>4.4000000000007278</v>
      </c>
      <c r="G87" s="205">
        <f t="shared" si="7"/>
        <v>168200.13729999997</v>
      </c>
      <c r="H87" s="141">
        <f t="shared" ref="H87:H150" si="8">(A87-A86)*F87*24+H86</f>
        <v>169736.79333612893</v>
      </c>
    </row>
    <row r="88" spans="1:8">
      <c r="A88" s="12">
        <v>44112.70416666667</v>
      </c>
      <c r="B88" s="141">
        <v>15788.074000000001</v>
      </c>
      <c r="C88" s="113">
        <v>12.899999999999434</v>
      </c>
      <c r="D88" s="141"/>
      <c r="E88" s="152">
        <f t="shared" si="6"/>
        <v>3.1339920783892765</v>
      </c>
      <c r="F88" s="141">
        <f t="shared" si="5"/>
        <v>1.7666666666670441</v>
      </c>
      <c r="G88" s="205">
        <f t="shared" si="7"/>
        <v>168932.39179999998</v>
      </c>
      <c r="H88" s="141">
        <f t="shared" si="8"/>
        <v>170128.93444724023</v>
      </c>
    </row>
    <row r="89" spans="1:8">
      <c r="A89" s="12">
        <v>44115.870138888888</v>
      </c>
      <c r="B89" s="141">
        <v>15818.002</v>
      </c>
      <c r="C89" s="113">
        <v>10.900000000000242</v>
      </c>
      <c r="D89" s="141"/>
      <c r="E89" s="152">
        <f t="shared" si="6"/>
        <v>4.0037480149214657</v>
      </c>
      <c r="F89" s="141">
        <f t="shared" si="5"/>
        <v>3.0999999999998389</v>
      </c>
      <c r="G89" s="205">
        <f t="shared" si="7"/>
        <v>169252.6214</v>
      </c>
      <c r="H89" s="141">
        <f t="shared" si="8"/>
        <v>170364.48278057319</v>
      </c>
    </row>
    <row r="90" spans="1:8">
      <c r="A90" s="12">
        <v>44116.324305555558</v>
      </c>
      <c r="B90" s="141">
        <v>15824.394</v>
      </c>
      <c r="C90" s="113">
        <v>7.7999999999992724</v>
      </c>
      <c r="D90" s="141"/>
      <c r="E90" s="152">
        <f t="shared" si="6"/>
        <v>5.9609798164690329</v>
      </c>
      <c r="F90" s="141">
        <f t="shared" si="5"/>
        <v>5.1666666666671519</v>
      </c>
      <c r="G90" s="205">
        <f t="shared" si="7"/>
        <v>169321.01579999999</v>
      </c>
      <c r="H90" s="141">
        <f t="shared" si="8"/>
        <v>170420.79944724028</v>
      </c>
    </row>
    <row r="91" spans="1:8">
      <c r="A91" s="12">
        <v>44120.3</v>
      </c>
      <c r="B91" s="141">
        <v>15879.159</v>
      </c>
      <c r="C91" s="113">
        <v>7.7250000000003638</v>
      </c>
      <c r="D91" s="141"/>
      <c r="E91" s="152">
        <f t="shared" si="6"/>
        <v>5.8342661135358682</v>
      </c>
      <c r="F91" s="141">
        <f t="shared" si="5"/>
        <v>5.2166666666664243</v>
      </c>
      <c r="G91" s="205">
        <f t="shared" si="7"/>
        <v>169907.00129999997</v>
      </c>
      <c r="H91" s="141">
        <f t="shared" si="8"/>
        <v>170918.5563916848</v>
      </c>
    </row>
    <row r="92" spans="1:8">
      <c r="A92" s="12">
        <v>44126.92291666667</v>
      </c>
      <c r="B92" s="141">
        <v>15985.041999999999</v>
      </c>
      <c r="C92" s="113">
        <v>8.5000000000006057</v>
      </c>
      <c r="D92" s="141"/>
      <c r="E92" s="152">
        <f t="shared" si="6"/>
        <v>6.7713161056931055</v>
      </c>
      <c r="F92" s="141">
        <f t="shared" si="5"/>
        <v>4.6999999999995961</v>
      </c>
      <c r="G92" s="205">
        <f t="shared" si="7"/>
        <v>171039.94939999998</v>
      </c>
      <c r="H92" s="141">
        <f t="shared" si="8"/>
        <v>171665.62139168481</v>
      </c>
    </row>
    <row r="93" spans="1:8">
      <c r="A93" s="12">
        <v>44130.691666666666</v>
      </c>
      <c r="B93" s="141">
        <v>16029.487999999999</v>
      </c>
      <c r="C93" s="113">
        <v>11.350000000000364</v>
      </c>
      <c r="D93" s="141"/>
      <c r="E93" s="152">
        <f t="shared" si="6"/>
        <v>4.994954007744858</v>
      </c>
      <c r="F93" s="141">
        <f t="shared" si="5"/>
        <v>2.7999999999997573</v>
      </c>
      <c r="G93" s="205">
        <f t="shared" si="7"/>
        <v>171515.52159999998</v>
      </c>
      <c r="H93" s="141">
        <f t="shared" si="8"/>
        <v>171918.8813916845</v>
      </c>
    </row>
    <row r="94" spans="1:8">
      <c r="A94" s="12">
        <v>44133.013888888891</v>
      </c>
      <c r="B94" s="141">
        <v>16057.844999999999</v>
      </c>
      <c r="C94" s="113">
        <v>7.7333333333335759</v>
      </c>
      <c r="D94" s="141"/>
      <c r="E94" s="152">
        <f t="shared" si="6"/>
        <v>5.1719301136305962</v>
      </c>
      <c r="F94" s="141">
        <f t="shared" si="5"/>
        <v>5.2111111111109496</v>
      </c>
      <c r="G94" s="205">
        <f t="shared" si="7"/>
        <v>171818.94149999999</v>
      </c>
      <c r="H94" s="141">
        <f t="shared" si="8"/>
        <v>172209.3139842774</v>
      </c>
    </row>
    <row r="95" spans="1:8">
      <c r="A95" s="12">
        <v>44134.89166666667</v>
      </c>
      <c r="B95" s="141">
        <v>16083.272000000001</v>
      </c>
      <c r="C95" s="113">
        <v>10.299999999999272</v>
      </c>
      <c r="D95" s="141"/>
      <c r="E95" s="152">
        <f t="shared" si="6"/>
        <v>5.7351802144919457</v>
      </c>
      <c r="F95" s="141">
        <f t="shared" si="5"/>
        <v>3.5000000000004849</v>
      </c>
      <c r="G95" s="205">
        <f t="shared" si="7"/>
        <v>172091.0104</v>
      </c>
      <c r="H95" s="141">
        <f t="shared" si="8"/>
        <v>172367.04731761091</v>
      </c>
    </row>
    <row r="96" spans="1:8">
      <c r="A96" s="12">
        <v>44137.481944444444</v>
      </c>
      <c r="B96" s="141">
        <v>16114.828</v>
      </c>
      <c r="C96" s="113">
        <v>12.533333333332848</v>
      </c>
      <c r="D96" s="141"/>
      <c r="E96" s="152">
        <f t="shared" si="6"/>
        <v>5.1597867024207034</v>
      </c>
      <c r="F96" s="141">
        <f t="shared" si="5"/>
        <v>2.0111111111114344</v>
      </c>
      <c r="G96" s="205">
        <f t="shared" si="7"/>
        <v>172428.65959999998</v>
      </c>
      <c r="H96" s="141">
        <f t="shared" si="8"/>
        <v>172492.07139168482</v>
      </c>
    </row>
    <row r="97" spans="1:8">
      <c r="A97" s="12">
        <v>44140.72152777778</v>
      </c>
      <c r="B97" s="141">
        <v>16141.869000000001</v>
      </c>
      <c r="C97" s="113">
        <v>9.3000000000004857</v>
      </c>
      <c r="D97" s="141"/>
      <c r="E97" s="152">
        <f t="shared" si="6"/>
        <v>3.535328167200066</v>
      </c>
      <c r="F97" s="141">
        <f t="shared" si="5"/>
        <v>4.1666666666663428</v>
      </c>
      <c r="G97" s="205">
        <f t="shared" si="7"/>
        <v>172717.99830000001</v>
      </c>
      <c r="H97" s="141">
        <f t="shared" si="8"/>
        <v>172816.02972501836</v>
      </c>
    </row>
    <row r="98" spans="1:8">
      <c r="A98" s="12">
        <v>44142.439583333333</v>
      </c>
      <c r="B98" s="141">
        <v>16169.528</v>
      </c>
      <c r="C98" s="113">
        <v>2.5</v>
      </c>
      <c r="D98" s="141"/>
      <c r="E98" s="152">
        <f t="shared" si="6"/>
        <v>6.8186031123775317</v>
      </c>
      <c r="F98" s="141">
        <f t="shared" si="5"/>
        <v>8.6999999999999993</v>
      </c>
      <c r="G98" s="205">
        <f t="shared" si="7"/>
        <v>173013.94959999999</v>
      </c>
      <c r="H98" s="141">
        <f t="shared" si="8"/>
        <v>173174.75972501788</v>
      </c>
    </row>
    <row r="99" spans="1:8">
      <c r="A99" s="12">
        <v>44143.92083333333</v>
      </c>
      <c r="B99" s="141">
        <v>16198.066999999999</v>
      </c>
      <c r="C99" s="113">
        <v>2.5</v>
      </c>
      <c r="D99" s="141"/>
      <c r="E99" s="152">
        <f t="shared" si="6"/>
        <v>8.1603075949524122</v>
      </c>
      <c r="F99" s="141">
        <f t="shared" si="5"/>
        <v>8.6999999999999993</v>
      </c>
      <c r="G99" s="205">
        <f t="shared" si="7"/>
        <v>173319.31689999998</v>
      </c>
      <c r="H99" s="141">
        <f t="shared" si="8"/>
        <v>173484.04472501727</v>
      </c>
    </row>
    <row r="100" spans="1:8">
      <c r="A100" s="12">
        <v>44146.525694444441</v>
      </c>
      <c r="B100" s="141">
        <v>16247.984</v>
      </c>
      <c r="C100" s="113">
        <v>4.1666666666678793</v>
      </c>
      <c r="D100" s="141"/>
      <c r="E100" s="152">
        <f t="shared" si="6"/>
        <v>8.1163365235944198</v>
      </c>
      <c r="F100" s="141">
        <f t="shared" si="5"/>
        <v>7.5888888888880803</v>
      </c>
      <c r="G100" s="205">
        <f t="shared" si="7"/>
        <v>173853.42879999999</v>
      </c>
      <c r="H100" s="141">
        <f t="shared" si="8"/>
        <v>173958.47676205423</v>
      </c>
    </row>
    <row r="101" spans="1:8">
      <c r="A101" s="12">
        <v>44147.955555555556</v>
      </c>
      <c r="B101" s="141">
        <v>16276.378000000001</v>
      </c>
      <c r="C101" s="113">
        <v>5.4000000000014552</v>
      </c>
      <c r="D101" s="141"/>
      <c r="E101" s="152">
        <f t="shared" si="6"/>
        <v>8.410636522559118</v>
      </c>
      <c r="F101" s="141">
        <f t="shared" si="5"/>
        <v>6.7666666666656967</v>
      </c>
      <c r="G101" s="205">
        <f t="shared" si="7"/>
        <v>174157.24460000001</v>
      </c>
      <c r="H101" s="141">
        <f t="shared" si="8"/>
        <v>174190.68620649932</v>
      </c>
    </row>
    <row r="102" spans="1:8">
      <c r="A102" s="12">
        <v>44149.865972222222</v>
      </c>
      <c r="B102" s="141">
        <v>16303.929</v>
      </c>
      <c r="C102" s="113">
        <v>7.8499999999985448</v>
      </c>
      <c r="D102" s="141"/>
      <c r="E102" s="152">
        <f t="shared" si="6"/>
        <v>6.1080897491851003</v>
      </c>
      <c r="F102" s="141">
        <f t="shared" si="5"/>
        <v>5.1333333333343036</v>
      </c>
      <c r="G102" s="205">
        <f t="shared" si="7"/>
        <v>174452.04029999999</v>
      </c>
      <c r="H102" s="141">
        <f t="shared" si="8"/>
        <v>174426.04953983257</v>
      </c>
    </row>
    <row r="103" spans="1:8">
      <c r="A103" s="12">
        <v>44151.773611111108</v>
      </c>
      <c r="B103" s="141">
        <v>16332.536</v>
      </c>
      <c r="C103" s="113">
        <v>6.6000000000003638</v>
      </c>
      <c r="D103" s="141"/>
      <c r="E103" s="152">
        <f t="shared" si="6"/>
        <v>6.3514413178103819</v>
      </c>
      <c r="F103" s="141">
        <f t="shared" si="5"/>
        <v>5.9666666666664243</v>
      </c>
      <c r="G103" s="205">
        <f t="shared" si="7"/>
        <v>174758.13519999999</v>
      </c>
      <c r="H103" s="141">
        <f t="shared" si="8"/>
        <v>174699.22342872104</v>
      </c>
    </row>
    <row r="104" spans="1:8">
      <c r="A104" s="12">
        <v>44153.378472222219</v>
      </c>
      <c r="B104" s="141">
        <v>16360.307000000001</v>
      </c>
      <c r="C104" s="113">
        <v>9.25</v>
      </c>
      <c r="D104" s="141"/>
      <c r="E104" s="152">
        <f t="shared" si="6"/>
        <v>7.3290925573353931</v>
      </c>
      <c r="F104" s="141">
        <f t="shared" si="5"/>
        <v>4.2</v>
      </c>
      <c r="G104" s="205">
        <f t="shared" si="7"/>
        <v>175055.2849</v>
      </c>
      <c r="H104" s="141">
        <f t="shared" si="8"/>
        <v>174860.99342872103</v>
      </c>
    </row>
    <row r="105" spans="1:8">
      <c r="A105" s="12">
        <v>44154.888888888891</v>
      </c>
      <c r="B105" s="141">
        <v>16383.172</v>
      </c>
      <c r="C105" s="113">
        <v>6.9000000000014552</v>
      </c>
      <c r="D105" s="141"/>
      <c r="E105" s="152">
        <f t="shared" si="6"/>
        <v>6.4116613792896926</v>
      </c>
      <c r="F105" s="141">
        <f t="shared" si="5"/>
        <v>5.7666666666656967</v>
      </c>
      <c r="G105" s="205">
        <f t="shared" si="7"/>
        <v>175299.94039999999</v>
      </c>
      <c r="H105" s="141">
        <f t="shared" si="8"/>
        <v>175070.03509538833</v>
      </c>
    </row>
    <row r="106" spans="1:8">
      <c r="A106" s="12">
        <v>44156.706944444442</v>
      </c>
      <c r="B106" s="141">
        <v>16413.523000000001</v>
      </c>
      <c r="C106" s="113">
        <v>1.9500000000007276</v>
      </c>
      <c r="D106" s="141"/>
      <c r="E106" s="152">
        <f t="shared" si="6"/>
        <v>7.0706932391284223</v>
      </c>
      <c r="F106" s="141">
        <f t="shared" si="5"/>
        <v>9.0666666666661815</v>
      </c>
      <c r="G106" s="205">
        <f t="shared" si="7"/>
        <v>175624.6961</v>
      </c>
      <c r="H106" s="141">
        <f t="shared" si="8"/>
        <v>175465.64398427639</v>
      </c>
    </row>
    <row r="107" spans="1:8">
      <c r="A107" s="12">
        <v>44157.94027777778</v>
      </c>
      <c r="B107" s="141">
        <v>16439.098999999998</v>
      </c>
      <c r="C107" s="113">
        <v>3</v>
      </c>
      <c r="D107" s="141"/>
      <c r="E107" s="152">
        <f t="shared" si="6"/>
        <v>8.7831094594308947</v>
      </c>
      <c r="F107" s="141">
        <f t="shared" si="5"/>
        <v>8.3666666666666671</v>
      </c>
      <c r="G107" s="205">
        <f t="shared" si="7"/>
        <v>175898.35929999998</v>
      </c>
      <c r="H107" s="141">
        <f t="shared" si="8"/>
        <v>175713.2973176105</v>
      </c>
    </row>
    <row r="108" spans="1:8">
      <c r="A108" s="12">
        <v>44159.366666666669</v>
      </c>
      <c r="B108" s="141">
        <v>16467.095000000001</v>
      </c>
      <c r="C108" s="113">
        <v>2.0499999999992724</v>
      </c>
      <c r="D108" s="141"/>
      <c r="E108" s="152">
        <f t="shared" si="6"/>
        <v>8.3129310613436154</v>
      </c>
      <c r="F108" s="141">
        <f t="shared" si="5"/>
        <v>9.0000000000004849</v>
      </c>
      <c r="G108" s="205">
        <f t="shared" si="7"/>
        <v>176197.91649999999</v>
      </c>
      <c r="H108" s="141">
        <f t="shared" si="8"/>
        <v>176021.39731761056</v>
      </c>
    </row>
    <row r="109" spans="1:8">
      <c r="A109" s="12">
        <v>44160.856249999997</v>
      </c>
      <c r="B109" s="141">
        <v>16498.092000000001</v>
      </c>
      <c r="C109" s="113">
        <v>-9.9999999998544808E-2</v>
      </c>
      <c r="D109" s="141"/>
      <c r="E109" s="152">
        <f t="shared" si="6"/>
        <v>8.8135525874411123</v>
      </c>
      <c r="F109" s="141">
        <f t="shared" si="5"/>
        <v>10.433333333332362</v>
      </c>
      <c r="G109" s="205">
        <f t="shared" si="7"/>
        <v>176529.58439999999</v>
      </c>
      <c r="H109" s="141">
        <f t="shared" si="8"/>
        <v>176394.38898427598</v>
      </c>
    </row>
    <row r="110" spans="1:8">
      <c r="A110" s="12">
        <v>44163.017361111109</v>
      </c>
      <c r="B110" s="141">
        <v>16549.644</v>
      </c>
      <c r="C110" s="113">
        <v>0</v>
      </c>
      <c r="D110" s="141"/>
      <c r="E110" s="152">
        <f t="shared" si="6"/>
        <v>10.103330591253528</v>
      </c>
      <c r="F110" s="141">
        <f t="shared" si="5"/>
        <v>10.366666666666665</v>
      </c>
      <c r="G110" s="205">
        <f t="shared" si="7"/>
        <v>177081.19079999998</v>
      </c>
      <c r="H110" s="141">
        <f t="shared" si="8"/>
        <v>176932.07342872076</v>
      </c>
    </row>
    <row r="111" spans="1:8">
      <c r="A111" s="12">
        <v>44164.366666666669</v>
      </c>
      <c r="B111" s="141">
        <v>16581.61</v>
      </c>
      <c r="C111" s="113">
        <v>1.5999999999985448</v>
      </c>
      <c r="D111" s="141"/>
      <c r="E111" s="152">
        <f t="shared" si="6"/>
        <v>10.03400072050891</v>
      </c>
      <c r="F111" s="141">
        <f t="shared" si="5"/>
        <v>9.3000000000009706</v>
      </c>
      <c r="G111" s="205">
        <f t="shared" si="7"/>
        <v>177423.22699999998</v>
      </c>
      <c r="H111" s="141">
        <f t="shared" si="8"/>
        <v>177233.23842872158</v>
      </c>
    </row>
    <row r="112" spans="1:8">
      <c r="A112" s="12">
        <v>44165.543749999997</v>
      </c>
      <c r="B112" s="141">
        <v>16611.014999999999</v>
      </c>
      <c r="C112" s="113">
        <v>0.5</v>
      </c>
      <c r="D112" s="141"/>
      <c r="E112" s="152">
        <f t="shared" si="6"/>
        <v>10.58059557526442</v>
      </c>
      <c r="F112" s="141">
        <f t="shared" si="5"/>
        <v>10.033333333333333</v>
      </c>
      <c r="G112" s="205">
        <f t="shared" si="7"/>
        <v>177737.86049999998</v>
      </c>
      <c r="H112" s="141">
        <f t="shared" si="8"/>
        <v>177516.68009538707</v>
      </c>
    </row>
    <row r="113" spans="1:8">
      <c r="A113" s="12">
        <v>44166.952777777777</v>
      </c>
      <c r="B113" s="141">
        <v>16642.219000000001</v>
      </c>
      <c r="C113" s="113">
        <v>-1.2999999999992724</v>
      </c>
      <c r="D113" s="141"/>
      <c r="E113" s="152">
        <f t="shared" si="6"/>
        <v>9.379654805311441</v>
      </c>
      <c r="F113" s="141">
        <f t="shared" si="5"/>
        <v>11.233333333332848</v>
      </c>
      <c r="G113" s="205">
        <f t="shared" si="7"/>
        <v>178071.7433</v>
      </c>
      <c r="H113" s="141">
        <f t="shared" si="8"/>
        <v>177896.55398427643</v>
      </c>
    </row>
    <row r="114" spans="1:8">
      <c r="A114" s="12">
        <v>44167.955555555556</v>
      </c>
      <c r="B114" s="141">
        <v>16666.666000000001</v>
      </c>
      <c r="C114" s="113">
        <v>-1.7999999999992724</v>
      </c>
      <c r="D114" s="141"/>
      <c r="E114" s="152">
        <f t="shared" si="6"/>
        <v>10.325640789455418</v>
      </c>
      <c r="F114" s="141">
        <f t="shared" si="5"/>
        <v>11.566666666666181</v>
      </c>
      <c r="G114" s="205">
        <f t="shared" si="7"/>
        <v>178333.32620000001</v>
      </c>
      <c r="H114" s="141">
        <f t="shared" si="8"/>
        <v>178174.92509538803</v>
      </c>
    </row>
    <row r="115" spans="1:8">
      <c r="A115" s="12">
        <v>44168.923611111109</v>
      </c>
      <c r="B115" s="141">
        <v>16691.341</v>
      </c>
      <c r="C115" s="113">
        <v>-1.7999999999992724</v>
      </c>
      <c r="D115" s="141"/>
      <c r="E115" s="152">
        <f t="shared" si="6"/>
        <v>10.795755021545727</v>
      </c>
      <c r="F115" s="141">
        <f t="shared" si="5"/>
        <v>11.566666666666181</v>
      </c>
      <c r="G115" s="205">
        <f t="shared" si="7"/>
        <v>178597.3487</v>
      </c>
      <c r="H115" s="141">
        <f t="shared" si="8"/>
        <v>178443.65731760961</v>
      </c>
    </row>
    <row r="116" spans="1:8">
      <c r="A116" s="12">
        <v>44169.967361111114</v>
      </c>
      <c r="B116" s="141">
        <v>16716.267</v>
      </c>
      <c r="C116" s="113">
        <v>1.0999999999985448</v>
      </c>
      <c r="D116" s="141"/>
      <c r="E116" s="152">
        <f t="shared" si="6"/>
        <v>10.114682235486423</v>
      </c>
      <c r="F116" s="141">
        <f t="shared" si="5"/>
        <v>9.6333333333343028</v>
      </c>
      <c r="G116" s="205">
        <f t="shared" si="7"/>
        <v>178864.0569</v>
      </c>
      <c r="H116" s="141">
        <f t="shared" si="8"/>
        <v>178684.97231761063</v>
      </c>
    </row>
    <row r="117" spans="1:8">
      <c r="A117" s="12">
        <v>44170.921527777777</v>
      </c>
      <c r="B117" s="141">
        <v>16738.830000000002</v>
      </c>
      <c r="C117" s="113">
        <v>4.7999999999992724</v>
      </c>
      <c r="D117" s="141"/>
      <c r="E117" s="152">
        <f t="shared" si="6"/>
        <v>10.015410262050317</v>
      </c>
      <c r="F117" s="141">
        <f t="shared" si="5"/>
        <v>7.1666666666671519</v>
      </c>
      <c r="G117" s="205">
        <f t="shared" si="7"/>
        <v>179105.481</v>
      </c>
      <c r="H117" s="141">
        <f t="shared" si="8"/>
        <v>178849.08898427663</v>
      </c>
    </row>
    <row r="118" spans="1:8">
      <c r="A118" s="12">
        <v>44172.414583333331</v>
      </c>
      <c r="B118" s="141">
        <v>16771.763999999999</v>
      </c>
      <c r="C118" s="113">
        <v>7.9500000000007276</v>
      </c>
      <c r="D118" s="141"/>
      <c r="E118" s="152">
        <f t="shared" si="6"/>
        <v>9.3425333023299206</v>
      </c>
      <c r="F118" s="141">
        <f t="shared" si="5"/>
        <v>5.0666666666661815</v>
      </c>
      <c r="G118" s="205">
        <f t="shared" si="7"/>
        <v>179457.87479999999</v>
      </c>
      <c r="H118" s="141">
        <f t="shared" si="8"/>
        <v>179030.64453983208</v>
      </c>
    </row>
    <row r="119" spans="1:8">
      <c r="A119" s="12">
        <v>44173.95416666667</v>
      </c>
      <c r="B119" s="141">
        <v>16802.170999999998</v>
      </c>
      <c r="C119" s="113">
        <v>4.0999999999985448</v>
      </c>
      <c r="D119" s="141"/>
      <c r="E119" s="152">
        <f t="shared" si="6"/>
        <v>8.365010960728581</v>
      </c>
      <c r="F119" s="141">
        <f t="shared" si="5"/>
        <v>7.6333333333343036</v>
      </c>
      <c r="G119" s="205">
        <f t="shared" si="7"/>
        <v>179783.22969999997</v>
      </c>
      <c r="H119" s="141">
        <f t="shared" si="8"/>
        <v>179312.69620649976</v>
      </c>
    </row>
    <row r="120" spans="1:8">
      <c r="A120" s="12">
        <v>44175.783333333333</v>
      </c>
      <c r="B120" s="141">
        <v>16836.581999999999</v>
      </c>
      <c r="C120" s="113">
        <v>4.1499999999996362</v>
      </c>
      <c r="D120" s="141"/>
      <c r="E120" s="152">
        <f t="shared" si="6"/>
        <v>7.9678317767822922</v>
      </c>
      <c r="F120" s="141">
        <f t="shared" si="5"/>
        <v>7.600000000000243</v>
      </c>
      <c r="G120" s="205">
        <f t="shared" si="7"/>
        <v>180151.42739999999</v>
      </c>
      <c r="H120" s="141">
        <f t="shared" si="8"/>
        <v>179646.33620649908</v>
      </c>
    </row>
    <row r="121" spans="1:8">
      <c r="A121" s="12">
        <v>44178.548611111109</v>
      </c>
      <c r="B121" s="141">
        <v>16894.848999999998</v>
      </c>
      <c r="C121" s="113">
        <v>2.7666666666664241</v>
      </c>
      <c r="D121" s="141"/>
      <c r="E121" s="152">
        <f t="shared" si="6"/>
        <v>8.9244207182356678</v>
      </c>
      <c r="F121" s="141">
        <f t="shared" si="5"/>
        <v>8.5222222222223838</v>
      </c>
      <c r="G121" s="205">
        <f t="shared" si="7"/>
        <v>180774.88429999998</v>
      </c>
      <c r="H121" s="141">
        <f t="shared" si="8"/>
        <v>180211.92768798035</v>
      </c>
    </row>
    <row r="122" spans="1:8">
      <c r="A122" s="12">
        <v>44180.920138888891</v>
      </c>
      <c r="B122" s="141">
        <v>16943.708999999999</v>
      </c>
      <c r="C122" s="113">
        <v>3.8999999999996362</v>
      </c>
      <c r="D122" s="141"/>
      <c r="E122" s="152">
        <f t="shared" si="6"/>
        <v>8.7261241581141196</v>
      </c>
      <c r="F122" s="141">
        <f t="shared" si="5"/>
        <v>7.7666666666669091</v>
      </c>
      <c r="G122" s="205">
        <f t="shared" si="7"/>
        <v>181297.68629999997</v>
      </c>
      <c r="H122" s="141">
        <f t="shared" si="8"/>
        <v>180653.98046575874</v>
      </c>
    </row>
    <row r="123" spans="1:8">
      <c r="A123" s="12">
        <v>44184.728472222225</v>
      </c>
      <c r="B123" s="141">
        <v>17026.825000000001</v>
      </c>
      <c r="C123" s="113">
        <v>2.1000000000003638</v>
      </c>
      <c r="D123" s="141"/>
      <c r="E123" s="152">
        <f t="shared" si="6"/>
        <v>9.2436995623610834</v>
      </c>
      <c r="F123" s="141">
        <f t="shared" si="5"/>
        <v>8.9666666666664234</v>
      </c>
      <c r="G123" s="205">
        <f t="shared" si="7"/>
        <v>182187.0275</v>
      </c>
      <c r="H123" s="141">
        <f t="shared" si="8"/>
        <v>181473.53379909226</v>
      </c>
    </row>
    <row r="124" spans="1:8">
      <c r="A124" s="12">
        <v>44187.884027777778</v>
      </c>
      <c r="B124" s="141">
        <v>17091.756000000001</v>
      </c>
      <c r="C124" s="113">
        <v>3.9333333333330907</v>
      </c>
      <c r="D124" s="141"/>
      <c r="E124" s="152">
        <f t="shared" si="6"/>
        <v>8.715100550182374</v>
      </c>
      <c r="F124" s="141">
        <f t="shared" si="5"/>
        <v>7.744444444444607</v>
      </c>
      <c r="G124" s="205">
        <f t="shared" si="7"/>
        <v>182881.7892</v>
      </c>
      <c r="H124" s="141">
        <f t="shared" si="8"/>
        <v>182060.04639168445</v>
      </c>
    </row>
    <row r="125" spans="1:8">
      <c r="A125" s="12">
        <v>44189.976388888892</v>
      </c>
      <c r="B125" s="141">
        <v>17123.344000000001</v>
      </c>
      <c r="C125" s="113">
        <v>9.1500000000014552</v>
      </c>
      <c r="D125" s="141"/>
      <c r="E125" s="152">
        <f t="shared" si="6"/>
        <v>6.394132492523906</v>
      </c>
      <c r="F125" s="141">
        <f t="shared" si="5"/>
        <v>4.2666666666656967</v>
      </c>
      <c r="G125" s="205">
        <f t="shared" si="7"/>
        <v>183219.78080000001</v>
      </c>
      <c r="H125" s="141">
        <f t="shared" si="8"/>
        <v>182274.30416946247</v>
      </c>
    </row>
    <row r="126" spans="1:8">
      <c r="A126" s="12">
        <v>44191.697916666664</v>
      </c>
      <c r="B126" s="141">
        <v>17149.473000000002</v>
      </c>
      <c r="C126" s="113">
        <v>1.25</v>
      </c>
      <c r="D126" s="141"/>
      <c r="E126" s="152">
        <f t="shared" si="6"/>
        <v>6.4284296490727657</v>
      </c>
      <c r="F126" s="141">
        <f t="shared" si="5"/>
        <v>9.5333333333333332</v>
      </c>
      <c r="G126" s="205">
        <f t="shared" si="7"/>
        <v>183499.36110000001</v>
      </c>
      <c r="H126" s="141">
        <f t="shared" si="8"/>
        <v>182668.18972501677</v>
      </c>
    </row>
    <row r="127" spans="1:8">
      <c r="A127" s="12">
        <v>44192.960416666669</v>
      </c>
      <c r="B127" s="141">
        <v>17177.316999999999</v>
      </c>
      <c r="C127" s="113">
        <v>-1.2000000000007276</v>
      </c>
      <c r="D127" s="141"/>
      <c r="E127" s="152">
        <f t="shared" si="6"/>
        <v>9.3410646864354465</v>
      </c>
      <c r="F127" s="141">
        <f t="shared" si="5"/>
        <v>11.166666666667151</v>
      </c>
      <c r="G127" s="205">
        <f t="shared" si="7"/>
        <v>183797.29189999998</v>
      </c>
      <c r="H127" s="141">
        <f t="shared" si="8"/>
        <v>183006.53972501797</v>
      </c>
    </row>
    <row r="128" spans="1:8">
      <c r="A128" s="12">
        <v>44196.895138888889</v>
      </c>
      <c r="B128" s="141">
        <v>17262.156999999999</v>
      </c>
      <c r="C128" s="113">
        <v>1.3500000000012733</v>
      </c>
      <c r="D128" s="141"/>
      <c r="E128" s="152">
        <f t="shared" si="6"/>
        <v>9.1323536886733976</v>
      </c>
      <c r="F128" s="141">
        <f t="shared" si="5"/>
        <v>9.4666666666658177</v>
      </c>
      <c r="G128" s="205">
        <f t="shared" si="7"/>
        <v>184705.07989999998</v>
      </c>
      <c r="H128" s="141">
        <f t="shared" si="8"/>
        <v>183900.50861390636</v>
      </c>
    </row>
    <row r="129" spans="1:8">
      <c r="A129" s="12">
        <v>44199.726388888892</v>
      </c>
      <c r="B129" s="141">
        <v>17328.739000000001</v>
      </c>
      <c r="C129" s="113">
        <v>-0.46666666666715173</v>
      </c>
      <c r="D129" s="141"/>
      <c r="E129" s="152">
        <f t="shared" si="6"/>
        <v>9.9603536423741872</v>
      </c>
      <c r="F129" s="141">
        <f t="shared" si="5"/>
        <v>10.6777777777781</v>
      </c>
      <c r="G129" s="205">
        <f t="shared" si="7"/>
        <v>185417.5073</v>
      </c>
      <c r="H129" s="141">
        <f t="shared" si="8"/>
        <v>184626.06361390714</v>
      </c>
    </row>
    <row r="130" spans="1:8">
      <c r="A130" s="12">
        <v>44209.336805555555</v>
      </c>
      <c r="B130" s="141">
        <v>17552.031999999999</v>
      </c>
      <c r="C130" s="113">
        <v>-9.9999999998544812E-3</v>
      </c>
      <c r="D130" s="141"/>
      <c r="E130" s="152">
        <f t="shared" si="6"/>
        <v>9.8407688922648795</v>
      </c>
      <c r="F130" s="141">
        <f t="shared" si="5"/>
        <v>10.373333333333235</v>
      </c>
      <c r="G130" s="205">
        <f t="shared" si="7"/>
        <v>187806.74239999999</v>
      </c>
      <c r="H130" s="141">
        <f t="shared" si="8"/>
        <v>187018.67294723948</v>
      </c>
    </row>
    <row r="131" spans="1:8">
      <c r="A131" s="12">
        <v>44237.875</v>
      </c>
      <c r="B131" s="141">
        <v>18250.68</v>
      </c>
      <c r="C131" s="113">
        <v>-0.232142857143117</v>
      </c>
      <c r="D131" s="141"/>
      <c r="E131" s="152">
        <f t="shared" si="6"/>
        <v>10.368789760311193</v>
      </c>
      <c r="F131" s="141">
        <f t="shared" si="5"/>
        <v>10.521428571428745</v>
      </c>
      <c r="G131" s="205">
        <f t="shared" si="7"/>
        <v>195282.27599999998</v>
      </c>
      <c r="H131" s="141">
        <f t="shared" si="8"/>
        <v>194224.97473295408</v>
      </c>
    </row>
    <row r="132" spans="1:8">
      <c r="A132" s="12">
        <v>44253.368055555555</v>
      </c>
      <c r="B132" s="141">
        <v>18660.11</v>
      </c>
      <c r="C132" s="113">
        <v>-0.98749999999995453</v>
      </c>
      <c r="D132" s="141"/>
      <c r="E132" s="152">
        <f t="shared" si="6"/>
        <v>11.192799506948148</v>
      </c>
      <c r="F132" s="141">
        <f t="shared" si="5"/>
        <v>11.024999999999968</v>
      </c>
      <c r="G132" s="205">
        <f t="shared" si="7"/>
        <v>199663.177</v>
      </c>
      <c r="H132" s="141">
        <f t="shared" si="8"/>
        <v>198324.43723295385</v>
      </c>
    </row>
    <row r="133" spans="1:8">
      <c r="A133" s="12">
        <v>44274.744444444441</v>
      </c>
      <c r="B133" s="141">
        <v>19104.147000000001</v>
      </c>
      <c r="C133" s="113">
        <v>2.5190476190480346</v>
      </c>
      <c r="D133" s="141"/>
      <c r="E133" s="152">
        <f t="shared" si="6"/>
        <v>8.7979392599582535</v>
      </c>
      <c r="F133" s="141">
        <f t="shared" si="5"/>
        <v>8.6873015873013095</v>
      </c>
      <c r="G133" s="205">
        <f t="shared" si="7"/>
        <v>204414.37289999999</v>
      </c>
      <c r="H133" s="141">
        <f t="shared" si="8"/>
        <v>202781.31252395842</v>
      </c>
    </row>
    <row r="134" spans="1:8">
      <c r="A134" s="12">
        <v>44284.72152777778</v>
      </c>
      <c r="B134" s="141">
        <v>19277.738000000001</v>
      </c>
      <c r="C134" s="113">
        <v>5.8200000000000731</v>
      </c>
      <c r="D134" s="141"/>
      <c r="E134" s="152">
        <f t="shared" si="6"/>
        <v>7.3691898726208382</v>
      </c>
      <c r="F134" s="141">
        <f t="shared" ref="F134:F160" si="9">F$1+(IF(F$3-$C134&gt;0,F$3-$C134,0)*F$2/30)</f>
        <v>6.4866666666666184</v>
      </c>
      <c r="G134" s="205">
        <f t="shared" si="7"/>
        <v>206271.7966</v>
      </c>
      <c r="H134" s="141">
        <f t="shared" si="8"/>
        <v>204334.54485729258</v>
      </c>
    </row>
    <row r="135" spans="1:8">
      <c r="A135" s="12">
        <v>44307.313194444447</v>
      </c>
      <c r="B135" s="141">
        <v>19581.334999999999</v>
      </c>
      <c r="C135" s="113">
        <v>6.5304347826087277</v>
      </c>
      <c r="D135" s="141"/>
      <c r="E135" s="152">
        <f t="shared" si="6"/>
        <v>5.6917438306896209</v>
      </c>
      <c r="F135" s="141">
        <f t="shared" si="9"/>
        <v>6.0130434782608484</v>
      </c>
      <c r="G135" s="205">
        <f t="shared" si="7"/>
        <v>209520.28449999998</v>
      </c>
      <c r="H135" s="141">
        <f t="shared" si="8"/>
        <v>207594.81703120569</v>
      </c>
    </row>
    <row r="136" spans="1:8">
      <c r="A136" s="12">
        <v>44331.776388888888</v>
      </c>
      <c r="B136" s="141">
        <v>19744.887999999999</v>
      </c>
      <c r="C136" s="113">
        <v>10.341666666666697</v>
      </c>
      <c r="D136" s="141"/>
      <c r="E136" s="152">
        <f t="shared" si="6"/>
        <v>2.8316624946777873</v>
      </c>
      <c r="F136" s="141">
        <f t="shared" si="9"/>
        <v>3.4722222222222019</v>
      </c>
      <c r="G136" s="205">
        <f t="shared" si="7"/>
        <v>211270.30159999998</v>
      </c>
      <c r="H136" s="141">
        <f t="shared" si="8"/>
        <v>209633.41656824242</v>
      </c>
    </row>
    <row r="137" spans="1:8">
      <c r="A137" s="12">
        <v>44349.402083333334</v>
      </c>
      <c r="B137" s="141">
        <v>19829.022000000001</v>
      </c>
      <c r="C137" s="113">
        <v>12.166666666667071</v>
      </c>
      <c r="D137" s="141"/>
      <c r="E137" s="152">
        <f t="shared" si="6"/>
        <v>2.0217220204087516</v>
      </c>
      <c r="F137" s="141">
        <f t="shared" si="9"/>
        <v>2.255555555555286</v>
      </c>
      <c r="G137" s="205">
        <f t="shared" si="7"/>
        <v>212170.53539999999</v>
      </c>
      <c r="H137" s="141">
        <f t="shared" si="8"/>
        <v>210587.55416083502</v>
      </c>
    </row>
    <row r="138" spans="1:8">
      <c r="A138" s="12">
        <v>44376.75</v>
      </c>
      <c r="B138" s="141">
        <v>19922.377</v>
      </c>
      <c r="C138" s="205">
        <v>20.362962962962936</v>
      </c>
      <c r="D138" s="141"/>
      <c r="E138" s="152">
        <f t="shared" si="6"/>
        <v>1.4458041822198966</v>
      </c>
      <c r="F138" s="141">
        <f t="shared" si="9"/>
        <v>1.7</v>
      </c>
      <c r="G138" s="205">
        <f t="shared" si="7"/>
        <v>213169.4339</v>
      </c>
      <c r="H138" s="141">
        <f t="shared" si="8"/>
        <v>211703.34916083497</v>
      </c>
    </row>
    <row r="139" spans="1:8">
      <c r="A139" s="12">
        <v>44424.631944444445</v>
      </c>
      <c r="B139" s="141">
        <v>20050.072</v>
      </c>
      <c r="C139" s="205">
        <v>19.533333333333378</v>
      </c>
      <c r="D139" s="141"/>
      <c r="E139" s="152">
        <f t="shared" si="6"/>
        <v>1.1295312617838795</v>
      </c>
      <c r="F139" s="141">
        <f t="shared" si="9"/>
        <v>1.7</v>
      </c>
      <c r="G139" s="205">
        <f t="shared" si="7"/>
        <v>214535.77039999998</v>
      </c>
      <c r="H139" s="141">
        <f t="shared" si="8"/>
        <v>213656.93249416834</v>
      </c>
    </row>
    <row r="140" spans="1:8">
      <c r="A140" s="12">
        <v>44467.4375</v>
      </c>
      <c r="B140" s="141">
        <v>20157.435000000001</v>
      </c>
      <c r="C140" s="205">
        <v>15.990697674418824</v>
      </c>
      <c r="D140" s="141"/>
      <c r="E140" s="152">
        <f t="shared" si="6"/>
        <v>1.0623084636599927</v>
      </c>
      <c r="F140" s="141">
        <f t="shared" si="9"/>
        <v>1.7</v>
      </c>
      <c r="G140" s="205">
        <f t="shared" si="7"/>
        <v>215684.5545</v>
      </c>
      <c r="H140" s="141">
        <f t="shared" si="8"/>
        <v>215403.39916083499</v>
      </c>
    </row>
    <row r="141" spans="1:8">
      <c r="A141" s="12">
        <v>44482.34097222222</v>
      </c>
      <c r="B141" s="141">
        <v>20241.516</v>
      </c>
      <c r="C141" s="205">
        <v>10.786666666667104</v>
      </c>
      <c r="E141" s="152">
        <f t="shared" ref="E141:E145" si="10">(B141-B140)*10.7/(A141-A140)/24*E$3</f>
        <v>2.3894973160619304</v>
      </c>
      <c r="F141" s="141">
        <f t="shared" si="9"/>
        <v>3.1755555555552641</v>
      </c>
      <c r="G141" s="205">
        <f t="shared" si="7"/>
        <v>216584.22119999997</v>
      </c>
      <c r="H141" s="141">
        <f t="shared" si="8"/>
        <v>216539.24245713104</v>
      </c>
    </row>
    <row r="142" spans="1:8">
      <c r="A142" s="12">
        <v>44483.849305555559</v>
      </c>
      <c r="B142" s="141">
        <v>20264.332999999999</v>
      </c>
      <c r="C142" s="205">
        <v>6.7999999999992724</v>
      </c>
      <c r="E142" s="152">
        <f t="shared" si="10"/>
        <v>6.407038812131777</v>
      </c>
      <c r="F142" s="141">
        <f t="shared" si="9"/>
        <v>5.8333333333338189</v>
      </c>
      <c r="G142" s="205">
        <f t="shared" si="7"/>
        <v>216828.36309999996</v>
      </c>
      <c r="H142" s="141">
        <f t="shared" si="8"/>
        <v>216750.40912379848</v>
      </c>
    </row>
    <row r="143" spans="1:8">
      <c r="A143" s="12">
        <v>44529.458333333336</v>
      </c>
      <c r="B143" s="141">
        <v>20928.087</v>
      </c>
      <c r="C143" s="205">
        <v>6.0760869565217392</v>
      </c>
      <c r="E143" s="152">
        <f t="shared" si="10"/>
        <v>6.1638559099838677</v>
      </c>
      <c r="F143" s="141">
        <f t="shared" si="9"/>
        <v>6.3159420289855071</v>
      </c>
      <c r="G143" s="205">
        <f t="shared" si="7"/>
        <v>223930.53089999998</v>
      </c>
      <c r="H143" s="141">
        <f t="shared" si="8"/>
        <v>223663.94453442632</v>
      </c>
    </row>
    <row r="144" spans="1:8">
      <c r="A144" s="12">
        <v>44556.593055555553</v>
      </c>
      <c r="B144" s="141">
        <v>21474.99</v>
      </c>
      <c r="C144" s="205">
        <v>1.673076923077063</v>
      </c>
      <c r="E144" s="152">
        <f t="shared" si="10"/>
        <v>8.5365240236489441</v>
      </c>
      <c r="F144" s="141">
        <f t="shared" si="9"/>
        <v>9.251282051281958</v>
      </c>
      <c r="G144" s="205">
        <f t="shared" si="7"/>
        <v>229782.39300000001</v>
      </c>
      <c r="H144" s="141">
        <f t="shared" si="8"/>
        <v>229688.68778228847</v>
      </c>
    </row>
    <row r="145" spans="1:11">
      <c r="A145" s="12">
        <v>44556.88958333333</v>
      </c>
      <c r="B145" s="141">
        <v>21482.281999999999</v>
      </c>
      <c r="C145" s="205">
        <v>-1.7</v>
      </c>
      <c r="E145" s="152">
        <f t="shared" si="10"/>
        <v>10.415435128842008</v>
      </c>
      <c r="F145" s="141">
        <f t="shared" si="9"/>
        <v>11.5</v>
      </c>
      <c r="G145" s="205">
        <f t="shared" si="7"/>
        <v>229860.41739999998</v>
      </c>
      <c r="H145" s="141">
        <f t="shared" si="8"/>
        <v>229770.52944895483</v>
      </c>
    </row>
    <row r="146" spans="1:11">
      <c r="A146" s="12">
        <v>44622.59375</v>
      </c>
      <c r="B146" s="141">
        <v>22654.848999999998</v>
      </c>
      <c r="C146" s="141">
        <v>3.3272727272726499</v>
      </c>
      <c r="E146" s="152">
        <f t="shared" ref="E146:E160" si="11">(B146-B145)*10.7/(A146-A145)/24*E$3</f>
        <v>7.5585918923199786</v>
      </c>
      <c r="F146" s="141">
        <f t="shared" si="9"/>
        <v>8.1484848484849</v>
      </c>
      <c r="G146" s="205">
        <f t="shared" si="7"/>
        <v>242406.88429999998</v>
      </c>
      <c r="H146" s="141">
        <f t="shared" si="8"/>
        <v>242619.87520653132</v>
      </c>
    </row>
    <row r="147" spans="1:11">
      <c r="A147" s="12">
        <v>44634.831250000003</v>
      </c>
      <c r="B147" s="141">
        <v>22891.687000000002</v>
      </c>
      <c r="C147" s="141">
        <v>1.4000000000008488</v>
      </c>
      <c r="E147" s="152">
        <f t="shared" si="11"/>
        <v>8.1969978549522011</v>
      </c>
      <c r="F147" s="141">
        <f t="shared" si="9"/>
        <v>9.4333333333327669</v>
      </c>
      <c r="G147" s="205">
        <f t="shared" si="7"/>
        <v>244941.0509</v>
      </c>
      <c r="H147" s="141">
        <f t="shared" si="8"/>
        <v>245390.44520653182</v>
      </c>
    </row>
    <row r="148" spans="1:11">
      <c r="A148" s="12">
        <v>44635.320138888892</v>
      </c>
      <c r="B148" s="141">
        <v>22899.445</v>
      </c>
      <c r="C148" s="141">
        <v>6.2999999999992724</v>
      </c>
      <c r="E148" s="152">
        <f t="shared" si="11"/>
        <v>6.7210286931778551</v>
      </c>
      <c r="F148" s="141">
        <f t="shared" si="9"/>
        <v>6.1666666666671519</v>
      </c>
      <c r="G148" s="205">
        <f t="shared" si="7"/>
        <v>245024.06149999998</v>
      </c>
      <c r="H148" s="141">
        <f t="shared" si="8"/>
        <v>245462.8007620874</v>
      </c>
    </row>
    <row r="149" spans="1:11">
      <c r="A149" s="12">
        <v>44636.332638888889</v>
      </c>
      <c r="B149" s="141">
        <v>22915.297999999999</v>
      </c>
      <c r="C149" s="141">
        <v>7.7000000000007276</v>
      </c>
      <c r="E149" s="152">
        <f t="shared" si="11"/>
        <v>6.6315121399364028</v>
      </c>
      <c r="F149" s="141">
        <f t="shared" si="9"/>
        <v>5.2333333333328484</v>
      </c>
      <c r="G149" s="205">
        <f t="shared" si="7"/>
        <v>245193.68859999996</v>
      </c>
      <c r="H149" s="141">
        <f t="shared" si="8"/>
        <v>245589.97076208703</v>
      </c>
    </row>
    <row r="150" spans="1:11">
      <c r="A150" s="12">
        <v>44638.368750000001</v>
      </c>
      <c r="B150" s="141">
        <v>22941.427</v>
      </c>
      <c r="C150" s="141">
        <v>7.1999999999989086</v>
      </c>
      <c r="E150" s="152">
        <f t="shared" si="11"/>
        <v>5.4352241132300048</v>
      </c>
      <c r="F150" s="141">
        <f t="shared" si="9"/>
        <v>5.5666666666673938</v>
      </c>
      <c r="G150" s="205">
        <f t="shared" ref="G150:G160" si="12">B150*10.7</f>
        <v>245473.26889999997</v>
      </c>
      <c r="H150" s="141">
        <f t="shared" si="8"/>
        <v>245861.99520653169</v>
      </c>
    </row>
    <row r="151" spans="1:11">
      <c r="A151" s="12">
        <v>44640.477777777778</v>
      </c>
      <c r="B151" s="141">
        <v>22966.502</v>
      </c>
      <c r="C151" s="141">
        <v>4.8500000000003638</v>
      </c>
      <c r="E151" s="152">
        <f t="shared" si="11"/>
        <v>5.0356412578230652</v>
      </c>
      <c r="F151" s="141">
        <f t="shared" si="9"/>
        <v>7.1333333333330913</v>
      </c>
      <c r="G151" s="205">
        <f t="shared" si="12"/>
        <v>245741.57139999999</v>
      </c>
      <c r="H151" s="141">
        <f t="shared" ref="H151:H160" si="13">(A151-A150)*F151*24+H150</f>
        <v>246223.06076208703</v>
      </c>
    </row>
    <row r="152" spans="1:11">
      <c r="A152" s="12">
        <v>44640.82708333333</v>
      </c>
      <c r="B152" s="141">
        <v>22969.817999999999</v>
      </c>
      <c r="C152" s="141"/>
      <c r="E152" s="152">
        <f t="shared" si="11"/>
        <v>4.0207324056080651</v>
      </c>
      <c r="F152" s="141">
        <f t="shared" si="9"/>
        <v>10.366666666666665</v>
      </c>
      <c r="G152" s="205">
        <f t="shared" si="12"/>
        <v>245777.05259999997</v>
      </c>
      <c r="H152" s="141">
        <f t="shared" si="13"/>
        <v>246309.96798430831</v>
      </c>
    </row>
    <row r="153" spans="1:11">
      <c r="A153" s="12">
        <v>44651.572222222225</v>
      </c>
      <c r="B153" s="141">
        <v>23060.268</v>
      </c>
      <c r="C153" s="141">
        <v>8.2454545454542814</v>
      </c>
      <c r="E153" s="152">
        <f t="shared" si="11"/>
        <v>3.5652720868590269</v>
      </c>
      <c r="F153" s="141">
        <f t="shared" si="9"/>
        <v>4.8696969696971459</v>
      </c>
      <c r="G153" s="205">
        <f t="shared" si="12"/>
        <v>246744.8676</v>
      </c>
      <c r="H153" s="141">
        <f t="shared" si="13"/>
        <v>247565.78167117774</v>
      </c>
    </row>
    <row r="154" spans="1:11">
      <c r="A154" s="12">
        <v>44653.897916666669</v>
      </c>
      <c r="B154" s="141">
        <v>23098.447</v>
      </c>
      <c r="C154" s="141">
        <v>1.6499999999996362</v>
      </c>
      <c r="E154" s="152">
        <f t="shared" si="11"/>
        <v>6.952932845627509</v>
      </c>
      <c r="F154" s="141">
        <f t="shared" si="9"/>
        <v>9.2666666666669091</v>
      </c>
      <c r="G154" s="205">
        <f t="shared" si="12"/>
        <v>247153.3829</v>
      </c>
      <c r="H154" s="141">
        <f t="shared" si="13"/>
        <v>248083.01611562204</v>
      </c>
    </row>
    <row r="155" spans="1:11">
      <c r="A155" s="12">
        <v>44677.694444444445</v>
      </c>
      <c r="B155" s="141">
        <v>23338.799999999999</v>
      </c>
      <c r="C155" s="141">
        <v>7.545833333333273</v>
      </c>
      <c r="E155" s="152">
        <f t="shared" si="11"/>
        <v>4.2779144570579986</v>
      </c>
      <c r="F155" s="141">
        <f t="shared" si="9"/>
        <v>5.3361111111111512</v>
      </c>
      <c r="G155" s="205">
        <f t="shared" si="12"/>
        <v>249725.15999999997</v>
      </c>
      <c r="H155" s="141">
        <f t="shared" si="13"/>
        <v>251130.55810636267</v>
      </c>
    </row>
    <row r="156" spans="1:11">
      <c r="A156" s="12">
        <v>44690.382638888892</v>
      </c>
      <c r="B156" s="141">
        <v>23394.934000000001</v>
      </c>
      <c r="C156" s="141">
        <v>13.553846153845651</v>
      </c>
      <c r="E156" s="152">
        <f t="shared" si="11"/>
        <v>1.8737959936508681</v>
      </c>
      <c r="F156" s="141">
        <f t="shared" si="9"/>
        <v>1.7</v>
      </c>
      <c r="G156" s="205">
        <f t="shared" si="12"/>
        <v>250325.79379999998</v>
      </c>
      <c r="H156" s="141">
        <f t="shared" si="13"/>
        <v>251648.23643969611</v>
      </c>
    </row>
    <row r="157" spans="1:11">
      <c r="A157" s="12">
        <v>44713.272916666669</v>
      </c>
      <c r="B157" s="141">
        <v>23472.458999999999</v>
      </c>
      <c r="C157" s="141">
        <v>16.465217391304538</v>
      </c>
      <c r="E157" s="152">
        <f t="shared" si="11"/>
        <v>1.4344547509253385</v>
      </c>
      <c r="F157" s="141">
        <f t="shared" si="9"/>
        <v>1.7</v>
      </c>
      <c r="G157" s="205">
        <f t="shared" si="12"/>
        <v>251155.31129999997</v>
      </c>
      <c r="H157" s="141">
        <f t="shared" si="13"/>
        <v>252582.15977302939</v>
      </c>
    </row>
    <row r="158" spans="1:11">
      <c r="A158" s="12">
        <v>44721.942361111112</v>
      </c>
      <c r="B158" s="141">
        <v>23502.167000000001</v>
      </c>
      <c r="C158" s="141">
        <v>18.637500000000273</v>
      </c>
      <c r="E158" s="152">
        <f t="shared" si="11"/>
        <v>1.4513704902277145</v>
      </c>
      <c r="F158" s="141">
        <f t="shared" si="9"/>
        <v>1.7</v>
      </c>
      <c r="G158" s="205">
        <f t="shared" si="12"/>
        <v>251473.1869</v>
      </c>
      <c r="H158" s="141">
        <f t="shared" si="13"/>
        <v>252935.87310636271</v>
      </c>
      <c r="J158">
        <f>B82-B70</f>
        <v>3667.2790000000005</v>
      </c>
      <c r="K158" s="141" t="s">
        <v>1509</v>
      </c>
    </row>
    <row r="159" spans="1:11">
      <c r="A159" s="12">
        <v>44722.892361111109</v>
      </c>
      <c r="B159" s="141">
        <v>23505.063999999998</v>
      </c>
      <c r="C159" s="141">
        <v>18.700000000000728</v>
      </c>
      <c r="E159" s="152">
        <f t="shared" si="11"/>
        <v>1.2915791666693777</v>
      </c>
      <c r="F159" s="141">
        <f t="shared" si="9"/>
        <v>1.7</v>
      </c>
      <c r="G159" s="205">
        <f t="shared" si="12"/>
        <v>251504.18479999996</v>
      </c>
      <c r="H159" s="141">
        <f t="shared" si="13"/>
        <v>252974.6331063626</v>
      </c>
      <c r="J159">
        <f>B137-B82</f>
        <v>4240.7690000000002</v>
      </c>
      <c r="K159" s="141" t="s">
        <v>1508</v>
      </c>
    </row>
    <row r="160" spans="1:11">
      <c r="A160" s="12">
        <v>44727.929861111108</v>
      </c>
      <c r="B160" s="141">
        <v>23521.152999999998</v>
      </c>
      <c r="C160" s="141">
        <v>19.019999999999708</v>
      </c>
      <c r="E160" s="152">
        <f t="shared" si="11"/>
        <v>1.3527269230773087</v>
      </c>
      <c r="F160" s="141">
        <f t="shared" si="9"/>
        <v>1.7</v>
      </c>
      <c r="G160" s="205">
        <f t="shared" si="12"/>
        <v>251676.33709999998</v>
      </c>
      <c r="H160" s="141">
        <f t="shared" si="13"/>
        <v>253180.16310636254</v>
      </c>
      <c r="J160">
        <f>B160-B137</f>
        <v>3692.1309999999976</v>
      </c>
      <c r="K160" s="141" t="s">
        <v>1507</v>
      </c>
    </row>
  </sheetData>
  <hyperlinks>
    <hyperlink ref="M1" r:id="rId1"/>
  </hyperlinks>
  <pageMargins left="0.7" right="0.7" top="0.78740157499999996" bottom="0.78740157499999996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72"/>
  <sheetViews>
    <sheetView workbookViewId="0">
      <pane ySplit="4" topLeftCell="A5" activePane="bottomLeft" state="frozen"/>
      <selection pane="bottomLeft" activeCell="A2" sqref="A2"/>
    </sheetView>
  </sheetViews>
  <sheetFormatPr defaultColWidth="7" defaultRowHeight="15"/>
  <cols>
    <col min="1" max="1" width="12.140625" style="17" customWidth="1"/>
    <col min="2" max="4" width="7" style="11"/>
    <col min="5" max="5" width="7" style="13"/>
    <col min="6" max="16" width="7" style="11"/>
    <col min="17" max="17" width="8.140625" style="11" customWidth="1"/>
    <col min="18" max="16384" width="7" style="11"/>
  </cols>
  <sheetData>
    <row r="1" spans="1:16">
      <c r="A1" s="17" t="s">
        <v>1532</v>
      </c>
      <c r="F1" s="2">
        <v>0.25</v>
      </c>
      <c r="G1" s="11" t="s">
        <v>8</v>
      </c>
      <c r="H1" s="29" t="s">
        <v>19</v>
      </c>
      <c r="M1" s="19" t="s">
        <v>23</v>
      </c>
    </row>
    <row r="2" spans="1:16">
      <c r="D2" s="29" t="s">
        <v>20</v>
      </c>
      <c r="F2" s="3">
        <v>4.5</v>
      </c>
      <c r="G2" s="11" t="s">
        <v>5</v>
      </c>
      <c r="H2" s="110" t="s">
        <v>22</v>
      </c>
      <c r="M2" s="19" t="s">
        <v>24</v>
      </c>
    </row>
    <row r="3" spans="1:16">
      <c r="D3" s="11">
        <v>-0.71</v>
      </c>
      <c r="E3" s="31">
        <v>0.75</v>
      </c>
      <c r="F3" s="3">
        <v>17</v>
      </c>
      <c r="G3" s="11" t="s">
        <v>6</v>
      </c>
      <c r="K3" s="29" t="s">
        <v>21</v>
      </c>
      <c r="M3" s="19" t="s">
        <v>41</v>
      </c>
    </row>
    <row r="4" spans="1:16">
      <c r="A4" s="17" t="s">
        <v>11</v>
      </c>
      <c r="B4" s="11" t="s">
        <v>13</v>
      </c>
      <c r="C4" s="109" t="s">
        <v>355</v>
      </c>
      <c r="D4" s="109" t="s">
        <v>354</v>
      </c>
      <c r="E4" s="13" t="s">
        <v>1</v>
      </c>
      <c r="F4" s="11" t="s">
        <v>2</v>
      </c>
      <c r="I4" s="11">
        <f>B29-B5</f>
        <v>1093.1000000000004</v>
      </c>
      <c r="J4" s="33" t="s">
        <v>3</v>
      </c>
      <c r="M4" s="19" t="s">
        <v>42</v>
      </c>
    </row>
    <row r="5" spans="1:16">
      <c r="A5" s="17">
        <v>43100</v>
      </c>
      <c r="B5" s="20">
        <v>10904</v>
      </c>
      <c r="C5" s="28">
        <v>1.9428571428574546</v>
      </c>
      <c r="D5" s="28">
        <f>C5+D$3</f>
        <v>1.2328571428574546</v>
      </c>
      <c r="F5" s="11">
        <f>F$1+(IF(F$3-$D5&gt;0,F$3-$D5,0)*F$2/30)</f>
        <v>2.6150714285713819</v>
      </c>
      <c r="I5" s="11">
        <f>I4*0.75/0.95</f>
        <v>862.9736842105267</v>
      </c>
      <c r="J5" s="33" t="s">
        <v>50</v>
      </c>
      <c r="K5" s="11">
        <f>(I4-I5)*10</f>
        <v>2301.2631578947367</v>
      </c>
      <c r="L5" s="33" t="s">
        <v>51</v>
      </c>
      <c r="M5" s="19" t="s">
        <v>43</v>
      </c>
    </row>
    <row r="6" spans="1:16">
      <c r="A6" s="17">
        <v>43107</v>
      </c>
      <c r="B6" s="20">
        <v>10957</v>
      </c>
      <c r="C6" s="28">
        <v>5.5142857142857666</v>
      </c>
      <c r="D6" s="29">
        <f t="shared" ref="D6:D29" si="0">C6+D$3</f>
        <v>4.8042857142857667</v>
      </c>
      <c r="E6" s="13">
        <f>(B6-B5)*10.7/(A6-A5)/24*E$3</f>
        <v>2.5316964285714283</v>
      </c>
      <c r="F6" s="109">
        <f t="shared" ref="F6:F29" si="1">F$1+(IF(F$3-$D6&gt;0,F$3-$D6,0)*F$2/30)</f>
        <v>2.0793571428571349</v>
      </c>
    </row>
    <row r="7" spans="1:16">
      <c r="A7" s="17">
        <v>43113</v>
      </c>
      <c r="B7" s="20">
        <v>11000.6</v>
      </c>
      <c r="C7" s="28">
        <v>3.5</v>
      </c>
      <c r="D7" s="29">
        <f t="shared" si="0"/>
        <v>2.79</v>
      </c>
      <c r="E7" s="30">
        <f t="shared" ref="E7:E29" si="2">(B7-B6)*10.7/(A7-A6)/24*E$3</f>
        <v>2.4297916666666866</v>
      </c>
      <c r="F7" s="109">
        <f t="shared" si="1"/>
        <v>2.3815000000000004</v>
      </c>
      <c r="J7" s="46" t="s">
        <v>3</v>
      </c>
      <c r="O7" s="42" t="s">
        <v>169</v>
      </c>
      <c r="P7" s="48" t="s">
        <v>129</v>
      </c>
    </row>
    <row r="8" spans="1:16">
      <c r="A8" s="17">
        <v>43119</v>
      </c>
      <c r="B8" s="20">
        <v>11055</v>
      </c>
      <c r="C8" s="28">
        <v>0.81666666666660603</v>
      </c>
      <c r="D8" s="29">
        <f t="shared" si="0"/>
        <v>0.10666666666660607</v>
      </c>
      <c r="E8" s="30">
        <f t="shared" si="2"/>
        <v>3.0316666666666463</v>
      </c>
      <c r="F8" s="109">
        <f t="shared" si="1"/>
        <v>2.7840000000000091</v>
      </c>
      <c r="J8" s="11">
        <f>B21-B5</f>
        <v>853</v>
      </c>
      <c r="K8" s="11">
        <v>0.75</v>
      </c>
      <c r="L8" s="11">
        <v>4</v>
      </c>
      <c r="M8" s="11">
        <f>J8*10.7*K8/L8/24</f>
        <v>71.305468749999989</v>
      </c>
      <c r="O8" s="11">
        <v>410</v>
      </c>
      <c r="P8" s="37">
        <f>O8*10.7/365/24</f>
        <v>0.5007990867579909</v>
      </c>
    </row>
    <row r="9" spans="1:16">
      <c r="A9" s="17">
        <v>43120</v>
      </c>
      <c r="B9" s="20">
        <v>11065</v>
      </c>
      <c r="C9" s="28">
        <v>0.5</v>
      </c>
      <c r="D9" s="29">
        <f t="shared" si="0"/>
        <v>-0.20999999999999996</v>
      </c>
      <c r="E9" s="30">
        <f t="shared" si="2"/>
        <v>3.34375</v>
      </c>
      <c r="F9" s="109">
        <f t="shared" si="1"/>
        <v>2.8315000000000001</v>
      </c>
      <c r="J9" s="46">
        <v>1407</v>
      </c>
      <c r="K9" s="46">
        <v>0.75</v>
      </c>
      <c r="L9" s="46">
        <v>4</v>
      </c>
      <c r="M9" s="37">
        <f>J9*10.7*K9/L9/24</f>
        <v>117.61640625</v>
      </c>
      <c r="P9" s="46" t="s">
        <v>233</v>
      </c>
    </row>
    <row r="10" spans="1:16">
      <c r="A10" s="17">
        <v>43124</v>
      </c>
      <c r="B10" s="20">
        <v>11101</v>
      </c>
      <c r="C10" s="28">
        <v>1.7249999999999091</v>
      </c>
      <c r="D10" s="29">
        <f t="shared" si="0"/>
        <v>1.0149999999999091</v>
      </c>
      <c r="E10" s="30">
        <f t="shared" si="2"/>
        <v>3.0093750000000004</v>
      </c>
      <c r="F10" s="109">
        <f t="shared" si="1"/>
        <v>2.647750000000014</v>
      </c>
      <c r="J10" s="46"/>
      <c r="K10" s="46"/>
      <c r="L10" s="46"/>
      <c r="M10" s="46"/>
    </row>
    <row r="11" spans="1:16">
      <c r="A11" s="17">
        <v>43125</v>
      </c>
      <c r="B11" s="20">
        <v>11110</v>
      </c>
      <c r="C11" s="28">
        <v>4.2999999999992724</v>
      </c>
      <c r="D11" s="29">
        <f t="shared" si="0"/>
        <v>3.5899999999992724</v>
      </c>
      <c r="E11" s="30">
        <f t="shared" si="2"/>
        <v>3.0093750000000004</v>
      </c>
      <c r="F11" s="109">
        <f t="shared" si="1"/>
        <v>2.2615000000001095</v>
      </c>
      <c r="P11" s="143" t="s">
        <v>1041</v>
      </c>
    </row>
    <row r="12" spans="1:16">
      <c r="A12" s="17">
        <v>43128</v>
      </c>
      <c r="B12" s="20">
        <v>11135</v>
      </c>
      <c r="C12" s="28">
        <v>3</v>
      </c>
      <c r="D12" s="29">
        <f t="shared" si="0"/>
        <v>2.29</v>
      </c>
      <c r="E12" s="30">
        <f t="shared" si="2"/>
        <v>2.7864583333333335</v>
      </c>
      <c r="F12" s="109">
        <f t="shared" si="1"/>
        <v>2.4565000000000001</v>
      </c>
    </row>
    <row r="13" spans="1:16">
      <c r="A13" s="17">
        <v>43131</v>
      </c>
      <c r="B13" s="20">
        <v>11158.4</v>
      </c>
      <c r="C13" s="28">
        <v>5.666666666666667</v>
      </c>
      <c r="D13" s="29">
        <f t="shared" si="0"/>
        <v>4.956666666666667</v>
      </c>
      <c r="E13" s="30">
        <f t="shared" si="2"/>
        <v>2.6081249999999594</v>
      </c>
      <c r="F13" s="109">
        <f t="shared" si="1"/>
        <v>2.0564999999999998</v>
      </c>
    </row>
    <row r="14" spans="1:16">
      <c r="A14" s="17">
        <v>43134</v>
      </c>
      <c r="B14" s="20">
        <v>11184</v>
      </c>
      <c r="C14" s="28">
        <v>2.8666666666667879</v>
      </c>
      <c r="D14" s="29">
        <f t="shared" si="0"/>
        <v>2.156666666666788</v>
      </c>
      <c r="E14" s="30">
        <f t="shared" si="2"/>
        <v>2.8533333333333739</v>
      </c>
      <c r="F14" s="109">
        <f t="shared" si="1"/>
        <v>2.4764999999999819</v>
      </c>
    </row>
    <row r="15" spans="1:16">
      <c r="A15" s="17">
        <v>43142</v>
      </c>
      <c r="B15" s="20">
        <v>11258</v>
      </c>
      <c r="C15" s="28">
        <v>-0.9375</v>
      </c>
      <c r="D15" s="29">
        <f t="shared" si="0"/>
        <v>-1.6475</v>
      </c>
      <c r="E15" s="30">
        <f t="shared" si="2"/>
        <v>3.0929687499999998</v>
      </c>
      <c r="F15" s="109">
        <f t="shared" si="1"/>
        <v>3.0471250000000003</v>
      </c>
    </row>
    <row r="16" spans="1:16">
      <c r="A16" s="17">
        <v>43149</v>
      </c>
      <c r="B16" s="20">
        <v>11326</v>
      </c>
      <c r="C16" s="28">
        <v>-0.18571428571444162</v>
      </c>
      <c r="D16" s="29">
        <f t="shared" si="0"/>
        <v>-0.89571428571444156</v>
      </c>
      <c r="E16" s="30">
        <f t="shared" si="2"/>
        <v>3.2482142857142855</v>
      </c>
      <c r="F16" s="109">
        <f t="shared" si="1"/>
        <v>2.934357142857166</v>
      </c>
    </row>
    <row r="17" spans="1:14">
      <c r="A17" s="17">
        <v>43156</v>
      </c>
      <c r="B17" s="20">
        <v>11395</v>
      </c>
      <c r="C17" s="28">
        <v>-3.757142857143013</v>
      </c>
      <c r="D17" s="29">
        <f t="shared" si="0"/>
        <v>-4.4671428571430134</v>
      </c>
      <c r="E17" s="30">
        <f t="shared" si="2"/>
        <v>3.2959821428571425</v>
      </c>
      <c r="F17" s="109">
        <f t="shared" si="1"/>
        <v>3.470071428571452</v>
      </c>
    </row>
    <row r="18" spans="1:14">
      <c r="A18" s="17">
        <v>43158</v>
      </c>
      <c r="B18" s="20">
        <v>11419.5</v>
      </c>
      <c r="C18" s="28">
        <v>-10.399999999999636</v>
      </c>
      <c r="D18" s="29">
        <f t="shared" si="0"/>
        <v>-11.109999999999637</v>
      </c>
      <c r="E18" s="30">
        <f t="shared" si="2"/>
        <v>4.0960937499999996</v>
      </c>
      <c r="F18" s="109">
        <f t="shared" si="1"/>
        <v>4.4664999999999457</v>
      </c>
    </row>
    <row r="19" spans="1:14">
      <c r="A19" s="17">
        <v>43193</v>
      </c>
      <c r="B19" s="20">
        <v>11716</v>
      </c>
      <c r="C19" s="28">
        <v>2.0828571428572364</v>
      </c>
      <c r="D19" s="29">
        <f t="shared" si="0"/>
        <v>1.3728571428572365</v>
      </c>
      <c r="E19" s="30">
        <f t="shared" si="2"/>
        <v>2.8326339285714282</v>
      </c>
      <c r="F19" s="109">
        <f t="shared" si="1"/>
        <v>2.5940714285714148</v>
      </c>
    </row>
    <row r="20" spans="1:14">
      <c r="A20" s="17">
        <v>43198</v>
      </c>
      <c r="B20" s="20">
        <v>11740</v>
      </c>
      <c r="C20" s="28">
        <v>9.8399999999997814</v>
      </c>
      <c r="D20" s="29">
        <f t="shared" si="0"/>
        <v>9.1299999999997823</v>
      </c>
      <c r="E20" s="30">
        <f t="shared" si="2"/>
        <v>1.6049999999999998</v>
      </c>
      <c r="F20" s="109">
        <f t="shared" si="1"/>
        <v>1.4305000000000327</v>
      </c>
    </row>
    <row r="21" spans="1:14">
      <c r="A21" s="17">
        <v>43203</v>
      </c>
      <c r="B21" s="20">
        <v>11757</v>
      </c>
      <c r="C21" s="28">
        <v>14.400000000000365</v>
      </c>
      <c r="D21" s="29">
        <f t="shared" si="0"/>
        <v>13.690000000000364</v>
      </c>
      <c r="E21" s="30">
        <f t="shared" si="2"/>
        <v>1.1368749999999999</v>
      </c>
      <c r="F21" s="109">
        <f t="shared" si="1"/>
        <v>0.74649999999994543</v>
      </c>
    </row>
    <row r="22" spans="1:14">
      <c r="A22" s="17">
        <v>43226</v>
      </c>
      <c r="B22" s="20">
        <v>11800.5</v>
      </c>
      <c r="C22" s="28">
        <v>15.404347826086925</v>
      </c>
      <c r="D22" s="29">
        <f t="shared" si="0"/>
        <v>14.694347826086926</v>
      </c>
      <c r="E22" s="30">
        <f t="shared" si="2"/>
        <v>0.63240489130434785</v>
      </c>
      <c r="F22" s="109">
        <f t="shared" si="1"/>
        <v>0.59584782608696119</v>
      </c>
    </row>
    <row r="23" spans="1:14">
      <c r="A23" s="17">
        <v>43243</v>
      </c>
      <c r="B23" s="20">
        <v>11829</v>
      </c>
      <c r="C23" s="28">
        <v>16.205882352941071</v>
      </c>
      <c r="D23" s="29">
        <f t="shared" si="0"/>
        <v>15.49588235294107</v>
      </c>
      <c r="E23" s="30">
        <f t="shared" si="2"/>
        <v>0.56056985294117645</v>
      </c>
      <c r="F23" s="109">
        <f t="shared" si="1"/>
        <v>0.47561764705883947</v>
      </c>
    </row>
    <row r="24" spans="1:14">
      <c r="A24" s="17">
        <v>43338</v>
      </c>
      <c r="B24" s="20">
        <v>11897</v>
      </c>
      <c r="C24" s="28">
        <v>21.09157894736839</v>
      </c>
      <c r="D24" s="29">
        <f t="shared" si="0"/>
        <v>20.381578947368389</v>
      </c>
      <c r="E24" s="30">
        <f t="shared" si="2"/>
        <v>0.23934210526315786</v>
      </c>
      <c r="F24" s="109">
        <f t="shared" si="1"/>
        <v>0.25</v>
      </c>
    </row>
    <row r="25" spans="1:14">
      <c r="A25" s="17">
        <v>43342</v>
      </c>
      <c r="B25" s="20">
        <v>11900.1</v>
      </c>
      <c r="C25" s="28">
        <v>18.900000000000546</v>
      </c>
      <c r="D25" s="29">
        <f t="shared" si="0"/>
        <v>18.190000000000545</v>
      </c>
      <c r="E25" s="30">
        <f t="shared" si="2"/>
        <v>0.25914062500003038</v>
      </c>
      <c r="F25" s="109">
        <f t="shared" si="1"/>
        <v>0.25</v>
      </c>
      <c r="H25" s="46" t="s">
        <v>234</v>
      </c>
    </row>
    <row r="26" spans="1:14">
      <c r="A26" s="17">
        <v>43349</v>
      </c>
      <c r="B26" s="20">
        <v>11904.8</v>
      </c>
      <c r="C26" s="11">
        <v>17.742857142857506</v>
      </c>
      <c r="D26" s="29">
        <f t="shared" si="0"/>
        <v>17.032857142857505</v>
      </c>
      <c r="E26" s="30">
        <f t="shared" si="2"/>
        <v>0.22450892857137641</v>
      </c>
      <c r="F26" s="109">
        <f t="shared" si="1"/>
        <v>0.25</v>
      </c>
      <c r="H26" s="11">
        <v>20480</v>
      </c>
      <c r="I26" s="11">
        <v>0.75</v>
      </c>
    </row>
    <row r="27" spans="1:14">
      <c r="A27" s="17">
        <v>43366</v>
      </c>
      <c r="B27" s="20">
        <v>11918</v>
      </c>
      <c r="C27" s="11">
        <v>18.188235294117476</v>
      </c>
      <c r="D27" s="29">
        <f t="shared" si="0"/>
        <v>17.478235294117475</v>
      </c>
      <c r="E27" s="30">
        <f t="shared" si="2"/>
        <v>0.25963235294119075</v>
      </c>
      <c r="F27" s="109">
        <f t="shared" si="1"/>
        <v>0.25</v>
      </c>
      <c r="H27" s="11">
        <f>H26*I26/I27</f>
        <v>16168.42105263158</v>
      </c>
      <c r="I27" s="11">
        <v>0.95</v>
      </c>
    </row>
    <row r="28" spans="1:14">
      <c r="A28" s="17">
        <v>43370</v>
      </c>
      <c r="B28" s="20">
        <v>11935</v>
      </c>
      <c r="C28" s="11">
        <v>9.9750000000003638</v>
      </c>
      <c r="D28" s="29">
        <f t="shared" si="0"/>
        <v>9.2650000000003629</v>
      </c>
      <c r="E28" s="30">
        <f t="shared" si="2"/>
        <v>1.4210937499999998</v>
      </c>
      <c r="F28" s="109">
        <f t="shared" si="1"/>
        <v>1.4102499999999456</v>
      </c>
    </row>
    <row r="29" spans="1:14">
      <c r="A29" s="17">
        <v>43387</v>
      </c>
      <c r="B29" s="20">
        <v>11997.1</v>
      </c>
      <c r="C29" s="11">
        <v>11.864705882353091</v>
      </c>
      <c r="D29" s="29">
        <f t="shared" si="0"/>
        <v>11.154705882353092</v>
      </c>
      <c r="E29" s="30">
        <f t="shared" si="2"/>
        <v>1.22145220588236</v>
      </c>
      <c r="F29" s="109">
        <f t="shared" si="1"/>
        <v>1.1267941176470362</v>
      </c>
      <c r="H29" s="11">
        <f>H26-H27</f>
        <v>4311.5789473684199</v>
      </c>
      <c r="I29" s="46" t="s">
        <v>235</v>
      </c>
      <c r="K29" s="11">
        <v>13000</v>
      </c>
      <c r="M29" s="11">
        <f>K29/H29</f>
        <v>3.0151367187500009</v>
      </c>
      <c r="N29" s="46" t="s">
        <v>102</v>
      </c>
    </row>
    <row r="30" spans="1:14">
      <c r="B30" s="10"/>
      <c r="H30" s="11">
        <v>1.1000000000000001</v>
      </c>
    </row>
    <row r="31" spans="1:14">
      <c r="B31" s="10"/>
      <c r="H31" s="11">
        <f>H29*H30</f>
        <v>4742.7368421052624</v>
      </c>
    </row>
    <row r="32" spans="1:14">
      <c r="A32" s="17">
        <v>44136</v>
      </c>
      <c r="B32" s="143"/>
      <c r="C32" s="143">
        <v>10.200000000000024</v>
      </c>
      <c r="D32" s="141">
        <f t="shared" ref="D32:D38" si="3">C32+D$3</f>
        <v>9.4900000000000233</v>
      </c>
      <c r="E32" s="152"/>
      <c r="F32" s="141">
        <f t="shared" ref="F32:F38" si="4">F$1+(IF(F$3-$D32&gt;0,F$3-$D32,0)*F$2/30)</f>
        <v>1.3764999999999965</v>
      </c>
      <c r="G32" s="141">
        <f t="shared" ref="G32:G38" si="5">E32-F32</f>
        <v>-1.3764999999999965</v>
      </c>
    </row>
    <row r="33" spans="1:20">
      <c r="A33" s="17">
        <v>44166</v>
      </c>
      <c r="B33" s="143"/>
      <c r="C33" s="143">
        <v>4.4833333333335759</v>
      </c>
      <c r="D33" s="141">
        <f t="shared" si="3"/>
        <v>3.7733333333335759</v>
      </c>
      <c r="E33" s="152"/>
      <c r="F33" s="141">
        <f t="shared" si="4"/>
        <v>2.2339999999999636</v>
      </c>
      <c r="G33" s="141">
        <f t="shared" si="5"/>
        <v>-2.2339999999999636</v>
      </c>
      <c r="R33" s="46" t="s">
        <v>102</v>
      </c>
      <c r="S33" s="46" t="s">
        <v>35</v>
      </c>
    </row>
    <row r="34" spans="1:20">
      <c r="A34" s="17">
        <v>44197</v>
      </c>
      <c r="B34" s="143">
        <v>247</v>
      </c>
      <c r="C34" s="143">
        <v>2.9193548387097947</v>
      </c>
      <c r="D34" s="141">
        <f t="shared" si="3"/>
        <v>2.2093548387097948</v>
      </c>
      <c r="E34" s="152">
        <f t="shared" ref="E34:E37" si="6">(B34)*10.7/(A34-A33)/24*E$3</f>
        <v>2.6642137096774188</v>
      </c>
      <c r="F34" s="141">
        <f t="shared" si="4"/>
        <v>2.4685967741935309</v>
      </c>
      <c r="G34" s="141">
        <f t="shared" si="5"/>
        <v>0.19561693548388792</v>
      </c>
      <c r="R34" s="11">
        <v>2002</v>
      </c>
      <c r="S34" s="11">
        <v>2584</v>
      </c>
    </row>
    <row r="35" spans="1:20">
      <c r="A35" s="17">
        <v>44228</v>
      </c>
      <c r="B35" s="143">
        <v>281</v>
      </c>
      <c r="C35" s="143">
        <v>5.4838709677325473E-2</v>
      </c>
      <c r="D35" s="141">
        <f t="shared" si="3"/>
        <v>-0.65516129032267445</v>
      </c>
      <c r="E35" s="152">
        <f t="shared" si="6"/>
        <v>3.0309475806451611</v>
      </c>
      <c r="F35" s="141">
        <f t="shared" si="4"/>
        <v>2.8982741935484011</v>
      </c>
      <c r="G35" s="141">
        <f t="shared" si="5"/>
        <v>0.13267338709676002</v>
      </c>
      <c r="R35" s="11">
        <v>2003</v>
      </c>
      <c r="S35" s="11">
        <v>2542</v>
      </c>
    </row>
    <row r="36" spans="1:20">
      <c r="A36" s="17">
        <v>44256</v>
      </c>
      <c r="B36" s="143">
        <v>256</v>
      </c>
      <c r="C36" s="143">
        <v>-0.5035714285715065</v>
      </c>
      <c r="D36" s="141">
        <f t="shared" si="3"/>
        <v>-1.2135714285715065</v>
      </c>
      <c r="E36" s="152">
        <f t="shared" si="6"/>
        <v>3.0571428571428569</v>
      </c>
      <c r="F36" s="141">
        <f t="shared" si="4"/>
        <v>2.9820357142857259</v>
      </c>
      <c r="G36" s="141">
        <f t="shared" si="5"/>
        <v>7.5107142857131048E-2</v>
      </c>
      <c r="R36" s="29">
        <v>2004</v>
      </c>
      <c r="S36" s="11">
        <v>2562</v>
      </c>
    </row>
    <row r="37" spans="1:20">
      <c r="A37" s="17">
        <v>44287</v>
      </c>
      <c r="B37" s="143">
        <v>185</v>
      </c>
      <c r="C37" s="143">
        <v>4.6000000000003052</v>
      </c>
      <c r="D37" s="141">
        <f t="shared" si="3"/>
        <v>3.8900000000003052</v>
      </c>
      <c r="E37" s="152">
        <f t="shared" si="6"/>
        <v>1.995463709677419</v>
      </c>
      <c r="F37" s="141">
        <f t="shared" si="4"/>
        <v>2.2164999999999542</v>
      </c>
      <c r="G37" s="141">
        <f t="shared" si="5"/>
        <v>-0.22103629032253513</v>
      </c>
      <c r="R37" s="29">
        <v>2005</v>
      </c>
      <c r="S37" s="11">
        <v>2542</v>
      </c>
    </row>
    <row r="38" spans="1:20">
      <c r="A38" s="17">
        <v>44317</v>
      </c>
      <c r="B38" s="143"/>
      <c r="C38" s="143">
        <v>6.4666666666667876</v>
      </c>
      <c r="D38" s="141">
        <f t="shared" si="3"/>
        <v>5.7566666666667876</v>
      </c>
      <c r="E38" s="152"/>
      <c r="F38" s="141">
        <f t="shared" si="4"/>
        <v>1.9364999999999817</v>
      </c>
      <c r="G38" s="141">
        <f t="shared" si="5"/>
        <v>-1.9364999999999817</v>
      </c>
      <c r="R38" s="29">
        <v>2006</v>
      </c>
      <c r="S38" s="11">
        <v>2505</v>
      </c>
    </row>
    <row r="39" spans="1:20">
      <c r="B39" s="10"/>
      <c r="C39" s="141"/>
      <c r="D39" s="141"/>
      <c r="E39" s="152"/>
      <c r="F39" s="141"/>
      <c r="G39" s="141"/>
      <c r="R39" s="29">
        <v>2007</v>
      </c>
      <c r="S39" s="11">
        <v>2150</v>
      </c>
    </row>
    <row r="40" spans="1:20">
      <c r="A40" s="17">
        <v>44080</v>
      </c>
      <c r="B40" s="10">
        <v>15266</v>
      </c>
      <c r="C40" s="141"/>
      <c r="D40" s="143"/>
      <c r="E40" s="152"/>
      <c r="F40" s="141"/>
      <c r="G40" s="141"/>
      <c r="R40" s="29">
        <v>2008</v>
      </c>
      <c r="S40" s="11">
        <v>2117</v>
      </c>
    </row>
    <row r="41" spans="1:20">
      <c r="A41" s="17">
        <v>44216</v>
      </c>
      <c r="B41" s="10">
        <v>16092</v>
      </c>
      <c r="C41" s="141">
        <v>6.7647058823529678</v>
      </c>
      <c r="D41" s="141">
        <f t="shared" ref="D41:D42" si="7">C41+D$3</f>
        <v>6.0547058823529678</v>
      </c>
      <c r="E41" s="152">
        <f t="shared" ref="E41:E42" si="8">(B41-B40)*10.7/(A41-A40)/24*E$3</f>
        <v>2.0308363970588235</v>
      </c>
      <c r="F41" s="141">
        <f t="shared" ref="F41:F42" si="9">F$1+(IF(F$3-$D41&gt;0,F$3-$D41,0)*F$2/30)</f>
        <v>1.891794117647055</v>
      </c>
      <c r="G41" s="141">
        <f t="shared" ref="G41:G42" si="10">E41-F41</f>
        <v>0.1390422794117685</v>
      </c>
      <c r="R41" s="29">
        <v>2009</v>
      </c>
      <c r="S41" s="11">
        <v>2048</v>
      </c>
    </row>
    <row r="42" spans="1:20">
      <c r="A42" s="17">
        <v>44259</v>
      </c>
      <c r="B42" s="10">
        <f>B40+1203</f>
        <v>16469</v>
      </c>
      <c r="C42" s="141">
        <v>-1.3953488372143786E-2</v>
      </c>
      <c r="D42" s="141">
        <f t="shared" si="7"/>
        <v>-0.72395348837214379</v>
      </c>
      <c r="E42" s="152">
        <f t="shared" si="8"/>
        <v>2.9316133720930231</v>
      </c>
      <c r="F42" s="141">
        <f t="shared" si="9"/>
        <v>2.908593023255821</v>
      </c>
      <c r="G42" s="141">
        <f t="shared" si="10"/>
        <v>2.3020348837202054E-2</v>
      </c>
      <c r="R42" s="11">
        <v>2018</v>
      </c>
      <c r="S42" s="11">
        <f>B29-B5</f>
        <v>1093.1000000000004</v>
      </c>
    </row>
    <row r="43" spans="1:20">
      <c r="A43" s="18"/>
      <c r="B43" s="10"/>
      <c r="C43" s="141"/>
      <c r="D43" s="141"/>
      <c r="E43" s="152"/>
      <c r="F43" s="141"/>
      <c r="G43" s="141"/>
    </row>
    <row r="44" spans="1:20">
      <c r="A44" s="17">
        <v>43831</v>
      </c>
      <c r="B44" s="10">
        <v>0</v>
      </c>
      <c r="C44" s="141"/>
      <c r="D44" s="141"/>
      <c r="E44" s="152"/>
      <c r="F44" s="141"/>
      <c r="G44" s="141"/>
      <c r="R44" s="141" t="s">
        <v>3</v>
      </c>
      <c r="S44" s="141" t="s">
        <v>34</v>
      </c>
      <c r="T44" s="141" t="s">
        <v>1511</v>
      </c>
    </row>
    <row r="45" spans="1:20">
      <c r="A45" s="17">
        <v>43861</v>
      </c>
      <c r="B45" s="10">
        <v>277</v>
      </c>
      <c r="C45" s="141">
        <v>2.2799999999999998</v>
      </c>
      <c r="D45" s="141">
        <f t="shared" ref="D45" si="11">C45+D$3</f>
        <v>1.5699999999999998</v>
      </c>
      <c r="E45" s="152">
        <f t="shared" ref="E45" si="12">(B45-B44)*10.7/(A45-A44)/24*E$3</f>
        <v>3.0873958333333329</v>
      </c>
      <c r="F45" s="141">
        <f t="shared" ref="F45" si="13">F$1+(IF(F$3-$D45&gt;0,F$3-$D45,0)*F$2/30)</f>
        <v>2.5645000000000002</v>
      </c>
      <c r="G45" s="141">
        <f>E45-F45</f>
        <v>0.52289583333333267</v>
      </c>
      <c r="Q45" s="17">
        <v>43100</v>
      </c>
      <c r="R45" s="141">
        <v>10904</v>
      </c>
      <c r="T45" s="11">
        <v>31752.720000000005</v>
      </c>
    </row>
    <row r="46" spans="1:20">
      <c r="B46" s="10"/>
      <c r="C46" s="141"/>
      <c r="D46" s="141"/>
      <c r="E46" s="152"/>
      <c r="F46" s="141"/>
      <c r="G46" s="141"/>
      <c r="Q46" s="17">
        <v>43107</v>
      </c>
      <c r="R46" s="141">
        <v>10957</v>
      </c>
    </row>
    <row r="47" spans="1:20">
      <c r="A47" s="17">
        <v>44168</v>
      </c>
      <c r="B47" s="10">
        <v>0</v>
      </c>
      <c r="C47" s="141"/>
      <c r="D47" s="141"/>
      <c r="E47" s="152"/>
      <c r="F47" s="141"/>
      <c r="G47" s="141"/>
      <c r="Q47" s="17">
        <v>43113</v>
      </c>
      <c r="R47" s="141">
        <v>11000.6</v>
      </c>
    </row>
    <row r="48" spans="1:20">
      <c r="A48" s="17">
        <v>44181</v>
      </c>
      <c r="B48" s="10">
        <f>7.53*13</f>
        <v>97.89</v>
      </c>
      <c r="C48" s="141">
        <v>4.0923076923074682</v>
      </c>
      <c r="D48" s="141">
        <f t="shared" ref="D48" si="14">C48+D$3</f>
        <v>3.3823076923074682</v>
      </c>
      <c r="E48" s="152">
        <f t="shared" ref="E48" si="15">(B48-B47)*10.7/(A48-A47)/24*E$3</f>
        <v>2.5178437499999999</v>
      </c>
      <c r="F48" s="141">
        <f t="shared" ref="F48" si="16">F$1+(IF(F$3-$D48&gt;0,F$3-$D48,0)*F$2/30)</f>
        <v>2.2926538461538799</v>
      </c>
      <c r="G48" s="141">
        <f>E48-F48</f>
        <v>0.22518990384612003</v>
      </c>
      <c r="Q48" s="17">
        <v>43119</v>
      </c>
      <c r="R48" s="141">
        <v>11055</v>
      </c>
    </row>
    <row r="49" spans="1:21">
      <c r="B49" s="10"/>
      <c r="Q49" s="17">
        <v>43120</v>
      </c>
      <c r="R49" s="141">
        <v>11065</v>
      </c>
    </row>
    <row r="50" spans="1:21">
      <c r="A50" s="17">
        <v>43387</v>
      </c>
      <c r="B50" s="141">
        <v>11997.1</v>
      </c>
      <c r="Q50" s="17">
        <v>43124</v>
      </c>
      <c r="R50" s="141">
        <v>11101</v>
      </c>
    </row>
    <row r="51" spans="1:21">
      <c r="A51" s="17">
        <v>44322</v>
      </c>
      <c r="B51" s="10">
        <v>16889.792000000001</v>
      </c>
      <c r="C51" s="141"/>
      <c r="D51" s="143"/>
      <c r="E51" s="152">
        <f t="shared" ref="E51:E53" si="17">(B51-B50)*10.7/(A51-A50)/24*E$3</f>
        <v>1.7497260828877008</v>
      </c>
      <c r="F51" s="141"/>
      <c r="G51" s="141"/>
      <c r="Q51" s="17">
        <v>43125</v>
      </c>
      <c r="R51" s="141">
        <v>11110</v>
      </c>
    </row>
    <row r="52" spans="1:21">
      <c r="A52" s="17">
        <v>44322</v>
      </c>
      <c r="B52" s="10">
        <v>0.15</v>
      </c>
      <c r="C52" s="141"/>
      <c r="D52" s="141"/>
      <c r="E52" s="152"/>
      <c r="F52" s="141"/>
      <c r="G52" s="141"/>
      <c r="Q52" s="17">
        <v>43128</v>
      </c>
      <c r="R52" s="141">
        <v>11135</v>
      </c>
    </row>
    <row r="53" spans="1:21">
      <c r="A53" s="17">
        <v>44749</v>
      </c>
      <c r="B53" s="10">
        <v>1634</v>
      </c>
      <c r="C53" s="141"/>
      <c r="D53" s="141"/>
      <c r="E53" s="152">
        <f t="shared" si="17"/>
        <v>1.2794346457845431</v>
      </c>
      <c r="F53" s="141"/>
      <c r="G53" s="141" t="s">
        <v>1510</v>
      </c>
      <c r="Q53" s="17">
        <v>43131</v>
      </c>
      <c r="R53" s="141">
        <v>11158.4</v>
      </c>
    </row>
    <row r="54" spans="1:21">
      <c r="A54" s="18"/>
      <c r="B54" s="10"/>
      <c r="Q54" s="17">
        <v>43134</v>
      </c>
      <c r="R54" s="141">
        <v>11184</v>
      </c>
    </row>
    <row r="55" spans="1:21">
      <c r="B55" s="10"/>
      <c r="C55" s="141"/>
      <c r="D55" s="141"/>
      <c r="E55" s="152"/>
      <c r="F55" s="141"/>
      <c r="G55" s="141"/>
      <c r="Q55" s="17">
        <v>43142</v>
      </c>
      <c r="R55" s="141">
        <v>11258</v>
      </c>
    </row>
    <row r="56" spans="1:21">
      <c r="B56" s="10"/>
      <c r="C56" s="141"/>
      <c r="D56" s="141"/>
      <c r="E56" s="152"/>
      <c r="F56" s="141"/>
      <c r="G56" s="141"/>
      <c r="Q56" s="17">
        <v>43149</v>
      </c>
      <c r="R56" s="141">
        <v>11326</v>
      </c>
    </row>
    <row r="57" spans="1:21">
      <c r="B57" s="10"/>
      <c r="C57" s="141"/>
      <c r="D57" s="141"/>
      <c r="E57" s="152"/>
      <c r="F57" s="141"/>
      <c r="G57" s="141"/>
      <c r="Q57" s="17">
        <v>43156</v>
      </c>
      <c r="R57" s="141">
        <v>11395</v>
      </c>
    </row>
    <row r="58" spans="1:21">
      <c r="B58" s="10"/>
      <c r="C58" s="141"/>
      <c r="D58" s="141"/>
      <c r="E58" s="152"/>
      <c r="F58" s="141"/>
      <c r="G58" s="141"/>
      <c r="Q58" s="17">
        <v>43158</v>
      </c>
      <c r="R58" s="141">
        <v>11419.5</v>
      </c>
    </row>
    <row r="59" spans="1:21">
      <c r="B59" s="10"/>
      <c r="C59" s="141"/>
      <c r="D59" s="141"/>
      <c r="E59" s="152"/>
      <c r="F59" s="141"/>
      <c r="G59" s="141"/>
      <c r="Q59" s="17">
        <v>43193</v>
      </c>
      <c r="R59" s="141">
        <v>11716</v>
      </c>
    </row>
    <row r="60" spans="1:21">
      <c r="A60" s="26"/>
      <c r="B60" s="16"/>
      <c r="Q60" s="17">
        <v>43198</v>
      </c>
      <c r="R60" s="141">
        <v>11740</v>
      </c>
    </row>
    <row r="61" spans="1:21">
      <c r="A61" s="26"/>
      <c r="B61" s="16"/>
      <c r="Q61" s="17">
        <v>43203</v>
      </c>
      <c r="R61" s="141">
        <v>11757</v>
      </c>
    </row>
    <row r="62" spans="1:21">
      <c r="A62" s="26"/>
      <c r="B62" s="16"/>
      <c r="Q62" s="17">
        <v>43226</v>
      </c>
      <c r="R62" s="141">
        <v>11800.5</v>
      </c>
    </row>
    <row r="63" spans="1:21">
      <c r="Q63" s="17">
        <v>43243</v>
      </c>
      <c r="R63" s="141">
        <v>11829</v>
      </c>
      <c r="U63" s="11">
        <v>0.67</v>
      </c>
    </row>
    <row r="64" spans="1:21">
      <c r="Q64" s="17">
        <v>43338</v>
      </c>
      <c r="R64" s="141">
        <v>11897</v>
      </c>
    </row>
    <row r="65" spans="16:22">
      <c r="Q65" s="17">
        <v>43342</v>
      </c>
      <c r="R65" s="141">
        <v>11900.1</v>
      </c>
    </row>
    <row r="66" spans="16:22">
      <c r="Q66" s="17">
        <v>43349</v>
      </c>
      <c r="R66" s="141">
        <v>11904.8</v>
      </c>
    </row>
    <row r="67" spans="16:22">
      <c r="Q67" s="17">
        <v>43366</v>
      </c>
      <c r="R67" s="141">
        <v>11918</v>
      </c>
    </row>
    <row r="68" spans="16:22">
      <c r="Q68" s="17">
        <v>43370</v>
      </c>
      <c r="R68" s="141">
        <v>11935</v>
      </c>
    </row>
    <row r="69" spans="16:22">
      <c r="Q69" s="17">
        <v>43387</v>
      </c>
      <c r="R69" s="141">
        <v>11997.1</v>
      </c>
      <c r="T69" s="11">
        <v>39667.080000000016</v>
      </c>
      <c r="U69" s="141">
        <f>(R69-R45)*10.7*U$63/(Q69-Q45)/24</f>
        <v>1.1376936556329853</v>
      </c>
      <c r="V69" s="141">
        <f>(T69-T45)/(Q69-Q45)/24</f>
        <v>1.1490069686411166</v>
      </c>
    </row>
    <row r="70" spans="16:22">
      <c r="Q70" s="17">
        <v>44322</v>
      </c>
      <c r="R70" s="10">
        <v>16889.792000000001</v>
      </c>
      <c r="T70" s="11">
        <v>73827.960000000036</v>
      </c>
      <c r="U70" s="141">
        <f t="shared" ref="U70" si="18">(R70-R69)*10.7*U$63/(Q70-Q69)/24</f>
        <v>1.5630886340463459</v>
      </c>
      <c r="V70" s="141">
        <f t="shared" ref="V70" si="19">(T70-T69)/(Q70-Q69)/24</f>
        <v>1.5223208556149741</v>
      </c>
    </row>
    <row r="71" spans="16:22">
      <c r="P71" s="10">
        <v>0.15</v>
      </c>
      <c r="Q71" s="17">
        <v>44322</v>
      </c>
      <c r="R71" s="10">
        <f>R70+P71</f>
        <v>16889.942000000003</v>
      </c>
      <c r="T71" s="141">
        <v>73827.960000000036</v>
      </c>
      <c r="U71" s="141"/>
      <c r="V71" s="141"/>
    </row>
    <row r="72" spans="16:22">
      <c r="P72" s="10">
        <v>1634</v>
      </c>
      <c r="Q72" s="17">
        <v>44749</v>
      </c>
      <c r="R72" s="10">
        <f>R70+P72</f>
        <v>18523.792000000001</v>
      </c>
      <c r="T72" s="11">
        <v>86492.640000000203</v>
      </c>
      <c r="U72" s="11">
        <f>(R72-R71)*10.7*U$63/(Q72-Q71)/24</f>
        <v>1.1429616169008576</v>
      </c>
      <c r="V72" s="11">
        <f>(T72-T71)/(Q72-Q71)/24</f>
        <v>1.2358196721311638</v>
      </c>
    </row>
  </sheetData>
  <hyperlinks>
    <hyperlink ref="M2" r:id="rId1"/>
    <hyperlink ref="M1" r:id="rId2"/>
    <hyperlink ref="M3" r:id="rId3" location="text94"/>
    <hyperlink ref="M4" r:id="rId4" location="text35"/>
    <hyperlink ref="M5" r:id="rId5" location="text40"/>
  </hyperlinks>
  <pageMargins left="0.7" right="0.7" top="0.78740157499999996" bottom="0.78740157499999996" header="0.3" footer="0.3"/>
  <pageSetup paperSize="9" orientation="portrait" verticalDpi="0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>
  <dimension ref="A1:S21"/>
  <sheetViews>
    <sheetView workbookViewId="0">
      <selection activeCell="K3" sqref="K3"/>
    </sheetView>
  </sheetViews>
  <sheetFormatPr defaultRowHeight="15"/>
  <cols>
    <col min="1" max="3" width="9.140625" style="70"/>
    <col min="4" max="4" width="10.28515625" style="70" customWidth="1"/>
    <col min="5" max="16384" width="9.140625" style="70"/>
  </cols>
  <sheetData>
    <row r="1" spans="1:19">
      <c r="A1" s="69" t="s">
        <v>319</v>
      </c>
      <c r="K1" s="69" t="s">
        <v>318</v>
      </c>
    </row>
    <row r="2" spans="1:19">
      <c r="A2" s="70" t="s">
        <v>317</v>
      </c>
      <c r="O2" s="2">
        <v>7.1</v>
      </c>
      <c r="P2" s="70" t="s">
        <v>5</v>
      </c>
      <c r="Q2" s="70">
        <f>O2*1000/30</f>
        <v>236.66666666666666</v>
      </c>
      <c r="R2" s="70" t="s">
        <v>316</v>
      </c>
    </row>
    <row r="3" spans="1:19">
      <c r="A3" s="141" t="s">
        <v>1546</v>
      </c>
      <c r="B3" s="70" t="s">
        <v>269</v>
      </c>
      <c r="C3" s="70" t="s">
        <v>268</v>
      </c>
      <c r="E3" s="70" t="s">
        <v>315</v>
      </c>
      <c r="F3" s="70" t="s">
        <v>314</v>
      </c>
      <c r="G3" s="70" t="s">
        <v>313</v>
      </c>
      <c r="O3" s="2">
        <v>19</v>
      </c>
      <c r="P3" s="70" t="s">
        <v>312</v>
      </c>
    </row>
    <row r="4" spans="1:19">
      <c r="B4" s="70" t="s">
        <v>311</v>
      </c>
      <c r="C4" s="68" t="s">
        <v>310</v>
      </c>
      <c r="D4" s="70" t="s">
        <v>309</v>
      </c>
      <c r="E4" s="70" t="s">
        <v>308</v>
      </c>
      <c r="F4" s="68" t="s">
        <v>307</v>
      </c>
      <c r="G4" s="70" t="s">
        <v>306</v>
      </c>
      <c r="H4" s="70" t="s">
        <v>305</v>
      </c>
      <c r="I4" s="70" t="s">
        <v>304</v>
      </c>
      <c r="J4" s="70" t="s">
        <v>303</v>
      </c>
      <c r="K4" s="70" t="s">
        <v>302</v>
      </c>
      <c r="L4" s="70" t="s">
        <v>301</v>
      </c>
      <c r="N4" s="70" t="s">
        <v>106</v>
      </c>
      <c r="O4" s="70" t="s">
        <v>177</v>
      </c>
      <c r="P4" s="70" t="s">
        <v>300</v>
      </c>
      <c r="Q4" s="70" t="s">
        <v>299</v>
      </c>
      <c r="R4" s="70" t="s">
        <v>298</v>
      </c>
      <c r="S4" s="70" t="s">
        <v>297</v>
      </c>
    </row>
    <row r="5" spans="1:19">
      <c r="A5" s="63">
        <v>43702</v>
      </c>
      <c r="B5" s="68">
        <v>12815</v>
      </c>
      <c r="C5" s="70">
        <v>0</v>
      </c>
      <c r="D5" s="76">
        <v>0</v>
      </c>
      <c r="E5" s="75">
        <v>0</v>
      </c>
      <c r="F5" s="70">
        <v>115.099</v>
      </c>
      <c r="G5" s="70">
        <v>0</v>
      </c>
      <c r="H5" s="70">
        <v>0</v>
      </c>
      <c r="I5" s="70">
        <v>0</v>
      </c>
      <c r="J5" s="70">
        <v>0</v>
      </c>
    </row>
    <row r="6" spans="1:19">
      <c r="A6" s="63">
        <v>43727</v>
      </c>
      <c r="B6" s="68">
        <v>12916</v>
      </c>
      <c r="C6" s="70">
        <v>101</v>
      </c>
      <c r="D6" s="76">
        <v>252.5</v>
      </c>
      <c r="E6" s="75">
        <v>101</v>
      </c>
      <c r="F6" s="70">
        <v>116.15</v>
      </c>
      <c r="G6" s="70">
        <v>1.05</v>
      </c>
      <c r="H6" s="70">
        <v>292.18</v>
      </c>
      <c r="I6" s="70">
        <v>2.89</v>
      </c>
      <c r="J6" s="70">
        <v>2.89</v>
      </c>
      <c r="K6" s="70">
        <v>292.178</v>
      </c>
      <c r="L6" s="70">
        <v>252.5</v>
      </c>
      <c r="N6" s="70">
        <v>17.287999999999737</v>
      </c>
      <c r="O6" s="70">
        <f t="shared" ref="O6:O18" si="0">(O$3-N6)*O$2/30</f>
        <v>0.40517333333339545</v>
      </c>
      <c r="P6" s="70">
        <f t="shared" ref="P6:P18" si="1">(F6-F5)/3.6*1000/(A6-A5)/24</f>
        <v>0.48657407407407494</v>
      </c>
      <c r="Q6" s="70">
        <f t="shared" ref="Q6:Q18" si="2">(B6-B5)/(A6-A5)/24</f>
        <v>0.16833333333333333</v>
      </c>
      <c r="R6" s="70">
        <f t="shared" ref="R6:R18" si="3">P6/Q6</f>
        <v>2.8905390539053957</v>
      </c>
      <c r="S6" s="70">
        <f t="shared" ref="S6:S18" si="4">O6-P6</f>
        <v>-8.1400740740679489E-2</v>
      </c>
    </row>
    <row r="7" spans="1:19">
      <c r="A7" s="63">
        <v>43730</v>
      </c>
      <c r="B7" s="68">
        <v>12963</v>
      </c>
      <c r="C7" s="70">
        <v>47</v>
      </c>
      <c r="D7" s="76">
        <v>117.5</v>
      </c>
      <c r="E7" s="75">
        <v>148</v>
      </c>
      <c r="F7" s="70">
        <v>116.589</v>
      </c>
      <c r="G7" s="70">
        <v>0.44</v>
      </c>
      <c r="H7" s="70">
        <v>122.04</v>
      </c>
      <c r="I7" s="70">
        <v>2.6</v>
      </c>
      <c r="J7" s="70">
        <v>2.8</v>
      </c>
      <c r="K7" s="70">
        <v>414.22</v>
      </c>
      <c r="L7" s="70">
        <v>370</v>
      </c>
      <c r="N7" s="70">
        <v>11.799999999999272</v>
      </c>
      <c r="O7" s="70">
        <f t="shared" si="0"/>
        <v>1.704000000000172</v>
      </c>
      <c r="P7" s="70">
        <f t="shared" si="1"/>
        <v>1.6936728395061456</v>
      </c>
      <c r="Q7" s="70">
        <f t="shared" si="2"/>
        <v>0.65277777777777779</v>
      </c>
      <c r="R7" s="70">
        <f t="shared" si="3"/>
        <v>2.5945626477540951</v>
      </c>
      <c r="S7" s="70">
        <f t="shared" si="4"/>
        <v>1.0327160494026488E-2</v>
      </c>
    </row>
    <row r="8" spans="1:19">
      <c r="A8" s="63">
        <v>43734</v>
      </c>
      <c r="B8" s="68">
        <v>13015</v>
      </c>
      <c r="C8" s="70">
        <v>52</v>
      </c>
      <c r="D8" s="76">
        <v>130</v>
      </c>
      <c r="E8" s="75">
        <v>200</v>
      </c>
      <c r="F8" s="70">
        <v>117.16500000000001</v>
      </c>
      <c r="G8" s="70">
        <v>0.57999999999999996</v>
      </c>
      <c r="H8" s="70">
        <v>160.13</v>
      </c>
      <c r="I8" s="70">
        <v>3.08</v>
      </c>
      <c r="J8" s="70">
        <v>2.87</v>
      </c>
      <c r="K8" s="70">
        <v>574.34799999999996</v>
      </c>
      <c r="L8" s="70">
        <v>500</v>
      </c>
      <c r="N8" s="70">
        <v>14.375</v>
      </c>
      <c r="O8" s="70">
        <f t="shared" si="0"/>
        <v>1.0945833333333332</v>
      </c>
      <c r="P8" s="70">
        <f t="shared" si="1"/>
        <v>1.6666666666666885</v>
      </c>
      <c r="Q8" s="70">
        <f t="shared" si="2"/>
        <v>0.54166666666666663</v>
      </c>
      <c r="R8" s="70">
        <f t="shared" si="3"/>
        <v>3.0769230769231175</v>
      </c>
      <c r="S8" s="70">
        <f t="shared" si="4"/>
        <v>-0.57208333333335526</v>
      </c>
    </row>
    <row r="9" spans="1:19">
      <c r="A9" s="63">
        <v>43739</v>
      </c>
      <c r="B9" s="68">
        <v>13063</v>
      </c>
      <c r="C9" s="70">
        <v>48</v>
      </c>
      <c r="D9" s="76">
        <v>120</v>
      </c>
      <c r="E9" s="75">
        <v>248</v>
      </c>
      <c r="F9" s="70">
        <v>117.72499999999999</v>
      </c>
      <c r="G9" s="70">
        <v>0.56000000000000005</v>
      </c>
      <c r="H9" s="70">
        <v>155.68</v>
      </c>
      <c r="I9" s="70">
        <v>3.24</v>
      </c>
      <c r="J9" s="70">
        <v>2.94</v>
      </c>
      <c r="K9" s="70">
        <v>730.02800000000002</v>
      </c>
      <c r="L9" s="70">
        <v>620</v>
      </c>
      <c r="N9" s="70">
        <v>15.659999999999854</v>
      </c>
      <c r="O9" s="70">
        <f t="shared" si="0"/>
        <v>0.79046666666670107</v>
      </c>
      <c r="P9" s="70">
        <f t="shared" si="1"/>
        <v>1.2962962962962685</v>
      </c>
      <c r="Q9" s="70">
        <f t="shared" si="2"/>
        <v>0.39999999999999997</v>
      </c>
      <c r="R9" s="70">
        <f t="shared" si="3"/>
        <v>3.2407407407406716</v>
      </c>
      <c r="S9" s="70">
        <f t="shared" si="4"/>
        <v>-0.50582962962956746</v>
      </c>
    </row>
    <row r="10" spans="1:19">
      <c r="A10" s="63">
        <v>43744</v>
      </c>
      <c r="B10" s="68">
        <v>13149</v>
      </c>
      <c r="C10" s="70">
        <v>86</v>
      </c>
      <c r="D10" s="76">
        <v>215</v>
      </c>
      <c r="E10" s="75">
        <v>334</v>
      </c>
      <c r="F10" s="70">
        <v>118.608</v>
      </c>
      <c r="G10" s="70">
        <v>0.88</v>
      </c>
      <c r="H10" s="70">
        <v>245.47</v>
      </c>
      <c r="I10" s="70">
        <v>2.85</v>
      </c>
      <c r="J10" s="70">
        <v>2.92</v>
      </c>
      <c r="K10" s="70">
        <v>975.50199999999995</v>
      </c>
      <c r="L10" s="70">
        <v>835</v>
      </c>
      <c r="N10" s="70">
        <v>9.180000000000291</v>
      </c>
      <c r="O10" s="70">
        <f t="shared" si="0"/>
        <v>2.3240666666665977</v>
      </c>
      <c r="P10" s="70">
        <f t="shared" si="1"/>
        <v>2.043981481481504</v>
      </c>
      <c r="Q10" s="70">
        <f t="shared" si="2"/>
        <v>0.71666666666666667</v>
      </c>
      <c r="R10" s="70">
        <f t="shared" si="3"/>
        <v>2.8520671834625637</v>
      </c>
      <c r="S10" s="70">
        <f t="shared" si="4"/>
        <v>0.28008518518509362</v>
      </c>
    </row>
    <row r="11" spans="1:19">
      <c r="A11" s="63">
        <v>43748</v>
      </c>
      <c r="B11" s="68">
        <v>13237</v>
      </c>
      <c r="C11" s="70">
        <v>88</v>
      </c>
      <c r="D11" s="76">
        <v>220</v>
      </c>
      <c r="E11" s="75">
        <v>422</v>
      </c>
      <c r="F11" s="70">
        <v>119.57899999999999</v>
      </c>
      <c r="G11" s="70">
        <v>0.97</v>
      </c>
      <c r="H11" s="70">
        <v>269.94</v>
      </c>
      <c r="I11" s="70">
        <v>3.07</v>
      </c>
      <c r="J11" s="70">
        <v>2.95</v>
      </c>
      <c r="K11" s="70">
        <v>1245.44</v>
      </c>
      <c r="L11" s="74">
        <v>1055</v>
      </c>
      <c r="N11" s="70">
        <v>9.1749999999992724</v>
      </c>
      <c r="O11" s="70">
        <f t="shared" si="0"/>
        <v>2.3252500000001723</v>
      </c>
      <c r="P11" s="70">
        <f t="shared" si="1"/>
        <v>2.8096064814814508</v>
      </c>
      <c r="Q11" s="70">
        <f t="shared" si="2"/>
        <v>0.91666666666666663</v>
      </c>
      <c r="R11" s="70">
        <f t="shared" si="3"/>
        <v>3.0650252525252193</v>
      </c>
      <c r="S11" s="70">
        <f t="shared" si="4"/>
        <v>-0.48435648148127841</v>
      </c>
    </row>
    <row r="12" spans="1:19">
      <c r="A12" s="63">
        <v>43761</v>
      </c>
      <c r="B12" s="68">
        <v>13372</v>
      </c>
      <c r="C12" s="70">
        <v>135</v>
      </c>
      <c r="D12" s="76">
        <v>337.5</v>
      </c>
      <c r="E12" s="75">
        <v>557</v>
      </c>
      <c r="F12" s="70">
        <v>121.173</v>
      </c>
      <c r="G12" s="70">
        <v>1.59</v>
      </c>
      <c r="H12" s="70">
        <v>443.13</v>
      </c>
      <c r="I12" s="70">
        <v>3.28</v>
      </c>
      <c r="J12" s="70">
        <v>3.03</v>
      </c>
      <c r="K12" s="70">
        <v>1688.5719999999999</v>
      </c>
      <c r="L12" s="74">
        <v>1392.5</v>
      </c>
      <c r="N12" s="70">
        <v>12.876923076922909</v>
      </c>
      <c r="O12" s="70">
        <f t="shared" si="0"/>
        <v>1.4491282051282448</v>
      </c>
      <c r="P12" s="70">
        <f t="shared" si="1"/>
        <v>1.4191595441595515</v>
      </c>
      <c r="Q12" s="70">
        <f t="shared" si="2"/>
        <v>0.43269230769230771</v>
      </c>
      <c r="R12" s="70">
        <f t="shared" si="3"/>
        <v>3.279835390946519</v>
      </c>
      <c r="S12" s="70">
        <f t="shared" si="4"/>
        <v>2.9968660968693328E-2</v>
      </c>
    </row>
    <row r="13" spans="1:19">
      <c r="A13" s="63">
        <v>43769</v>
      </c>
      <c r="B13" s="68">
        <v>13541</v>
      </c>
      <c r="C13" s="70">
        <v>169</v>
      </c>
      <c r="D13" s="76">
        <v>422.5</v>
      </c>
      <c r="E13" s="75">
        <v>726</v>
      </c>
      <c r="F13" s="70">
        <v>122.782</v>
      </c>
      <c r="G13" s="70">
        <v>1.61</v>
      </c>
      <c r="H13" s="70">
        <v>447.3</v>
      </c>
      <c r="I13" s="70">
        <v>2.65</v>
      </c>
      <c r="J13" s="70">
        <v>2.94</v>
      </c>
      <c r="K13" s="70">
        <v>2135.8739999999998</v>
      </c>
      <c r="L13" s="74">
        <v>1815</v>
      </c>
      <c r="N13" s="70">
        <v>7.9124999999999091</v>
      </c>
      <c r="O13" s="70">
        <f t="shared" si="0"/>
        <v>2.6240416666666877</v>
      </c>
      <c r="P13" s="70">
        <f t="shared" si="1"/>
        <v>2.3278356481481404</v>
      </c>
      <c r="Q13" s="70">
        <f t="shared" si="2"/>
        <v>0.88020833333333337</v>
      </c>
      <c r="R13" s="70">
        <f t="shared" si="3"/>
        <v>2.6446416831032127</v>
      </c>
      <c r="S13" s="70">
        <f t="shared" si="4"/>
        <v>0.29620601851854733</v>
      </c>
    </row>
    <row r="14" spans="1:19">
      <c r="A14" s="63">
        <v>43778</v>
      </c>
      <c r="B14" s="68">
        <v>13749</v>
      </c>
      <c r="C14" s="70">
        <v>208</v>
      </c>
      <c r="D14" s="76">
        <v>520</v>
      </c>
      <c r="E14" s="75">
        <v>934</v>
      </c>
      <c r="F14" s="70">
        <v>125.04600000000001</v>
      </c>
      <c r="G14" s="70">
        <v>2.2599999999999998</v>
      </c>
      <c r="H14" s="70">
        <v>629.39</v>
      </c>
      <c r="I14" s="70">
        <v>3.03</v>
      </c>
      <c r="J14" s="70">
        <v>2.96</v>
      </c>
      <c r="K14" s="70">
        <v>2765.2660000000001</v>
      </c>
      <c r="L14" s="74">
        <v>2335</v>
      </c>
      <c r="N14" s="70">
        <v>7.5888888888888077</v>
      </c>
      <c r="O14" s="70">
        <f t="shared" si="0"/>
        <v>2.7006296296296486</v>
      </c>
      <c r="P14" s="70">
        <f t="shared" si="1"/>
        <v>2.9115226337448683</v>
      </c>
      <c r="Q14" s="70">
        <f t="shared" si="2"/>
        <v>0.96296296296296291</v>
      </c>
      <c r="R14" s="70">
        <f t="shared" si="3"/>
        <v>3.0235042735042863</v>
      </c>
      <c r="S14" s="70">
        <f t="shared" si="4"/>
        <v>-0.21089300411521972</v>
      </c>
    </row>
    <row r="15" spans="1:19">
      <c r="A15" s="63">
        <v>43784</v>
      </c>
      <c r="B15" s="68">
        <v>13947</v>
      </c>
      <c r="C15" s="70">
        <v>198</v>
      </c>
      <c r="D15" s="76">
        <v>495</v>
      </c>
      <c r="E15" s="75">
        <v>1132</v>
      </c>
      <c r="F15" s="70">
        <v>126.91500000000001</v>
      </c>
      <c r="G15" s="70">
        <v>1.87</v>
      </c>
      <c r="H15" s="70">
        <v>519.58000000000004</v>
      </c>
      <c r="I15" s="70">
        <v>2.62</v>
      </c>
      <c r="J15" s="70">
        <v>2.9</v>
      </c>
      <c r="K15" s="70">
        <v>3284.848</v>
      </c>
      <c r="L15" s="74">
        <v>2830</v>
      </c>
      <c r="N15" s="70">
        <v>3.0833333333327269</v>
      </c>
      <c r="O15" s="70">
        <f t="shared" si="0"/>
        <v>3.7669444444445879</v>
      </c>
      <c r="P15" s="70">
        <f t="shared" si="1"/>
        <v>3.6053240740740731</v>
      </c>
      <c r="Q15" s="70">
        <f t="shared" si="2"/>
        <v>1.375</v>
      </c>
      <c r="R15" s="70">
        <f t="shared" si="3"/>
        <v>2.6220538720538715</v>
      </c>
      <c r="S15" s="70">
        <f t="shared" si="4"/>
        <v>0.1616203703705148</v>
      </c>
    </row>
    <row r="16" spans="1:19">
      <c r="A16" s="63">
        <v>43800</v>
      </c>
      <c r="B16" s="68">
        <v>14325</v>
      </c>
      <c r="C16" s="70">
        <v>378</v>
      </c>
      <c r="D16" s="76">
        <v>945</v>
      </c>
      <c r="E16" s="75">
        <v>1510</v>
      </c>
      <c r="F16" s="70">
        <v>131.09200000000001</v>
      </c>
      <c r="G16" s="70">
        <v>4.18</v>
      </c>
      <c r="H16" s="70">
        <v>1161.21</v>
      </c>
      <c r="I16" s="70">
        <v>3.07</v>
      </c>
      <c r="J16" s="70">
        <v>2.94</v>
      </c>
      <c r="K16" s="70">
        <v>4446.0540000000001</v>
      </c>
      <c r="L16" s="74">
        <v>3775</v>
      </c>
      <c r="N16" s="70">
        <v>6.3625000000001819</v>
      </c>
      <c r="O16" s="70">
        <f t="shared" si="0"/>
        <v>2.9908749999999569</v>
      </c>
      <c r="P16" s="70">
        <f t="shared" si="1"/>
        <v>3.0215567129629672</v>
      </c>
      <c r="Q16" s="70">
        <f t="shared" si="2"/>
        <v>0.984375</v>
      </c>
      <c r="R16" s="70">
        <f t="shared" si="3"/>
        <v>3.0695179306290461</v>
      </c>
      <c r="S16" s="70">
        <f t="shared" si="4"/>
        <v>-3.0681712963010366E-2</v>
      </c>
    </row>
    <row r="17" spans="1:19">
      <c r="A17" s="63">
        <v>43813</v>
      </c>
      <c r="B17" s="68">
        <v>14820</v>
      </c>
      <c r="C17" s="70">
        <v>495</v>
      </c>
      <c r="D17" s="76">
        <v>1237.5</v>
      </c>
      <c r="E17" s="75">
        <v>2005</v>
      </c>
      <c r="F17" s="70">
        <v>135.68</v>
      </c>
      <c r="G17" s="70">
        <v>4.59</v>
      </c>
      <c r="H17" s="70">
        <v>1275.46</v>
      </c>
      <c r="I17" s="70">
        <v>2.58</v>
      </c>
      <c r="J17" s="70">
        <v>2.85</v>
      </c>
      <c r="K17" s="70">
        <v>5721.518</v>
      </c>
      <c r="L17" s="74">
        <v>5012.5</v>
      </c>
      <c r="N17" s="70">
        <v>2.5</v>
      </c>
      <c r="O17" s="70">
        <f t="shared" si="0"/>
        <v>3.9049999999999998</v>
      </c>
      <c r="P17" s="70">
        <f t="shared" si="1"/>
        <v>4.0847578347578297</v>
      </c>
      <c r="Q17" s="70">
        <f t="shared" si="2"/>
        <v>1.5865384615384617</v>
      </c>
      <c r="R17" s="70">
        <f t="shared" si="3"/>
        <v>2.5746352413019045</v>
      </c>
      <c r="S17" s="70">
        <f t="shared" si="4"/>
        <v>-0.17975783475782992</v>
      </c>
    </row>
    <row r="18" spans="1:19">
      <c r="A18" s="63">
        <v>43827</v>
      </c>
      <c r="B18" s="68">
        <v>15210</v>
      </c>
      <c r="C18" s="70">
        <v>390</v>
      </c>
      <c r="D18" s="76">
        <v>975</v>
      </c>
      <c r="E18" s="75">
        <v>2395</v>
      </c>
      <c r="F18" s="70">
        <v>139.773</v>
      </c>
      <c r="G18" s="70">
        <v>4.09</v>
      </c>
      <c r="H18" s="70">
        <v>1137.8499999999999</v>
      </c>
      <c r="I18" s="70">
        <v>2.92</v>
      </c>
      <c r="J18" s="70">
        <v>2.86</v>
      </c>
      <c r="K18" s="70">
        <v>6859.3720000000003</v>
      </c>
      <c r="L18" s="74">
        <v>5987.5</v>
      </c>
      <c r="N18" s="68">
        <v>5</v>
      </c>
      <c r="O18" s="70">
        <f t="shared" si="0"/>
        <v>3.313333333333333</v>
      </c>
      <c r="P18" s="70">
        <f t="shared" si="1"/>
        <v>3.3837632275132186</v>
      </c>
      <c r="Q18" s="70">
        <f t="shared" si="2"/>
        <v>1.1607142857142858</v>
      </c>
      <c r="R18" s="70">
        <f t="shared" si="3"/>
        <v>2.9152421652421574</v>
      </c>
      <c r="S18" s="70">
        <f t="shared" si="4"/>
        <v>-7.0429894179885544E-2</v>
      </c>
    </row>
    <row r="19" spans="1:19">
      <c r="C19" s="69" t="s">
        <v>1003</v>
      </c>
    </row>
    <row r="20" spans="1:19">
      <c r="A20" s="63">
        <v>44098</v>
      </c>
      <c r="B20" s="110">
        <v>0</v>
      </c>
      <c r="F20" s="70">
        <v>0</v>
      </c>
    </row>
    <row r="21" spans="1:19">
      <c r="A21" s="63">
        <v>23.11</v>
      </c>
      <c r="B21" s="110">
        <v>1167</v>
      </c>
      <c r="C21" s="70">
        <v>1167</v>
      </c>
      <c r="D21" s="76">
        <v>2917</v>
      </c>
      <c r="F21" s="70">
        <v>12.71</v>
      </c>
    </row>
  </sheetData>
  <hyperlinks>
    <hyperlink ref="A1" r:id="rId1" location="text263"/>
    <hyperlink ref="K1" r:id="rId2"/>
    <hyperlink ref="C19" r:id="rId3" location="text596"/>
  </hyperlinks>
  <pageMargins left="0.7" right="0.7" top="0.78740157499999996" bottom="0.78740157499999996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33</vt:i4>
      </vt:variant>
      <vt:variant>
        <vt:lpstr>Pojmenované oblasti</vt:lpstr>
      </vt:variant>
      <vt:variant>
        <vt:i4>1</vt:i4>
      </vt:variant>
    </vt:vector>
  </HeadingPairs>
  <TitlesOfParts>
    <vt:vector size="34" baseType="lpstr">
      <vt:lpstr>navod</vt:lpstr>
      <vt:lpstr>verovice</vt:lpstr>
      <vt:lpstr>Novak</vt:lpstr>
      <vt:lpstr>spis</vt:lpstr>
      <vt:lpstr>PENB</vt:lpstr>
      <vt:lpstr>RR 21 kW</vt:lpstr>
      <vt:lpstr>vavra 20kW</vt:lpstr>
      <vt:lpstr>homola</vt:lpstr>
      <vt:lpstr>LG thermaV 9 kW</vt:lpstr>
      <vt:lpstr>SCOP-norma</vt:lpstr>
      <vt:lpstr>simral</vt:lpstr>
      <vt:lpstr>kratky</vt:lpstr>
      <vt:lpstr>K4-55m2</vt:lpstr>
      <vt:lpstr>vicen</vt:lpstr>
      <vt:lpstr>petr</vt:lpstr>
      <vt:lpstr>evohome</vt:lpstr>
      <vt:lpstr>mikul</vt:lpstr>
      <vt:lpstr>Radek</vt:lpstr>
      <vt:lpstr>14 panelaku</vt:lpstr>
      <vt:lpstr>sajf</vt:lpstr>
      <vt:lpstr>step</vt:lpstr>
      <vt:lpstr>kozik</vt:lpstr>
      <vt:lpstr>struza 11kW</vt:lpstr>
      <vt:lpstr>13,5 kW nezat</vt:lpstr>
      <vt:lpstr>Oswald  16,6 kW</vt:lpstr>
      <vt:lpstr>Adam N</vt:lpstr>
      <vt:lpstr>ku</vt:lpstr>
      <vt:lpstr>realistanr</vt:lpstr>
      <vt:lpstr>jakino</vt:lpstr>
      <vt:lpstr>ds</vt:lpstr>
      <vt:lpstr>ds vypočet</vt:lpstr>
      <vt:lpstr>ds výsledky</vt:lpstr>
      <vt:lpstr>do 3 kW</vt:lpstr>
      <vt:lpstr>spis!_GoBack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pepa15</cp:lastModifiedBy>
  <dcterms:created xsi:type="dcterms:W3CDTF">2019-01-13T12:07:57Z</dcterms:created>
  <dcterms:modified xsi:type="dcterms:W3CDTF">2024-02-12T21:12:09Z</dcterms:modified>
</cp:coreProperties>
</file>