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19680" windowHeight="7815" activeTab="1"/>
  </bookViews>
  <sheets>
    <sheet name="bungalov" sheetId="4" r:id="rId1"/>
    <sheet name="rocni naklady" sheetId="5" r:id="rId2"/>
    <sheet name="metabolické teplo" sheetId="6" r:id="rId3"/>
  </sheets>
  <calcPr calcId="124519"/>
</workbook>
</file>

<file path=xl/calcChain.xml><?xml version="1.0" encoding="utf-8"?>
<calcChain xmlns="http://schemas.openxmlformats.org/spreadsheetml/2006/main">
  <c r="E39" i="5"/>
  <c r="E36"/>
  <c r="E35"/>
  <c r="E33"/>
  <c r="E32"/>
  <c r="P28"/>
  <c r="H36" i="6"/>
  <c r="H35"/>
  <c r="A56"/>
  <c r="A55"/>
  <c r="A54"/>
  <c r="A53"/>
  <c r="A50"/>
  <c r="A49"/>
  <c r="D37"/>
  <c r="D36"/>
  <c r="D39"/>
  <c r="F40"/>
  <c r="A39"/>
  <c r="A38"/>
  <c r="A48"/>
  <c r="M6"/>
  <c r="I28"/>
  <c r="O13"/>
  <c r="M13"/>
  <c r="K13"/>
  <c r="O12"/>
  <c r="M12"/>
  <c r="K12"/>
  <c r="O11"/>
  <c r="M11"/>
  <c r="K11"/>
  <c r="O10"/>
  <c r="M10"/>
  <c r="K10"/>
  <c r="O9"/>
  <c r="M9"/>
  <c r="K9"/>
  <c r="O8"/>
  <c r="M8"/>
  <c r="K8"/>
  <c r="B23"/>
  <c r="B22"/>
  <c r="B21"/>
  <c r="B19"/>
  <c r="B28" i="5"/>
  <c r="H28" s="1"/>
  <c r="B27"/>
  <c r="H27" s="1"/>
  <c r="B26"/>
  <c r="D26" s="1"/>
  <c r="B25"/>
  <c r="H25" s="1"/>
  <c r="B24"/>
  <c r="H24" s="1"/>
  <c r="W26"/>
  <c r="W23"/>
  <c r="W22"/>
  <c r="W19"/>
  <c r="W18"/>
  <c r="W17"/>
  <c r="AI17"/>
  <c r="AI14"/>
  <c r="AI13"/>
  <c r="AI10"/>
  <c r="AI9"/>
  <c r="AI8"/>
  <c r="AH17"/>
  <c r="AH14"/>
  <c r="AH13"/>
  <c r="AH10"/>
  <c r="AH9"/>
  <c r="AH8"/>
  <c r="S28"/>
  <c r="S29" s="1"/>
  <c r="S25"/>
  <c r="S26"/>
  <c r="S23"/>
  <c r="S20"/>
  <c r="W15"/>
  <c r="W14"/>
  <c r="W13"/>
  <c r="W12"/>
  <c r="W11"/>
  <c r="W10"/>
  <c r="W9"/>
  <c r="W8"/>
  <c r="V15"/>
  <c r="V14"/>
  <c r="V13"/>
  <c r="V12"/>
  <c r="V11"/>
  <c r="V10"/>
  <c r="V9"/>
  <c r="V8"/>
  <c r="U15"/>
  <c r="U14"/>
  <c r="U13"/>
  <c r="U12"/>
  <c r="U11"/>
  <c r="U10"/>
  <c r="U9"/>
  <c r="U8"/>
  <c r="T6"/>
  <c r="T5"/>
  <c r="J3"/>
  <c r="J22" s="1"/>
  <c r="G3"/>
  <c r="D3"/>
  <c r="D22" s="1"/>
  <c r="B12" i="4"/>
  <c r="F7"/>
  <c r="F24" i="5" l="1"/>
  <c r="F26"/>
  <c r="H26"/>
  <c r="F27"/>
  <c r="C24"/>
  <c r="E24"/>
  <c r="G24"/>
  <c r="J24"/>
  <c r="C25"/>
  <c r="E25"/>
  <c r="G25"/>
  <c r="J25"/>
  <c r="C26"/>
  <c r="E26"/>
  <c r="G26"/>
  <c r="J26"/>
  <c r="C27"/>
  <c r="E27"/>
  <c r="G27"/>
  <c r="J27"/>
  <c r="C28"/>
  <c r="E28"/>
  <c r="G28"/>
  <c r="J28"/>
  <c r="D24"/>
  <c r="D25"/>
  <c r="F25"/>
  <c r="D27"/>
  <c r="D28"/>
  <c r="F28"/>
  <c r="J9"/>
  <c r="J13"/>
  <c r="J19"/>
  <c r="J23"/>
  <c r="J11"/>
  <c r="J15"/>
  <c r="J17"/>
  <c r="J21"/>
  <c r="J8"/>
  <c r="J10"/>
  <c r="J12"/>
  <c r="J14"/>
  <c r="J16"/>
  <c r="J18"/>
  <c r="J20"/>
  <c r="G22"/>
  <c r="G20"/>
  <c r="G18"/>
  <c r="G16"/>
  <c r="G14"/>
  <c r="G12"/>
  <c r="G10"/>
  <c r="G8"/>
  <c r="G23"/>
  <c r="G21"/>
  <c r="G19"/>
  <c r="G17"/>
  <c r="G15"/>
  <c r="G13"/>
  <c r="G11"/>
  <c r="G9"/>
  <c r="D9"/>
  <c r="D11"/>
  <c r="D13"/>
  <c r="D15"/>
  <c r="D17"/>
  <c r="D19"/>
  <c r="D21"/>
  <c r="D23"/>
  <c r="D8"/>
  <c r="D10"/>
  <c r="D12"/>
  <c r="D14"/>
  <c r="D16"/>
  <c r="D18"/>
  <c r="D20"/>
  <c r="F9" i="4"/>
  <c r="F6"/>
  <c r="I30"/>
  <c r="I3" i="5"/>
  <c r="I10" s="1"/>
  <c r="H3"/>
  <c r="B9"/>
  <c r="I9" s="1"/>
  <c r="B10"/>
  <c r="H10" s="1"/>
  <c r="B11"/>
  <c r="I11" s="1"/>
  <c r="B12"/>
  <c r="B13"/>
  <c r="H13" s="1"/>
  <c r="B14"/>
  <c r="B15"/>
  <c r="H15" s="1"/>
  <c r="B16"/>
  <c r="B17"/>
  <c r="H17" s="1"/>
  <c r="B18"/>
  <c r="B19"/>
  <c r="H19" s="1"/>
  <c r="B20"/>
  <c r="B21"/>
  <c r="H21" s="1"/>
  <c r="B22"/>
  <c r="B23"/>
  <c r="H23" s="1"/>
  <c r="E2"/>
  <c r="F2" s="1"/>
  <c r="F3" s="1"/>
  <c r="F10" s="1"/>
  <c r="C3"/>
  <c r="C23" s="1"/>
  <c r="E3"/>
  <c r="B8"/>
  <c r="I8" s="1"/>
  <c r="F10" i="4"/>
  <c r="E10"/>
  <c r="A31"/>
  <c r="C29"/>
  <c r="C28"/>
  <c r="C27"/>
  <c r="C26"/>
  <c r="C25"/>
  <c r="I15"/>
  <c r="I14"/>
  <c r="G15"/>
  <c r="G14"/>
  <c r="T6"/>
  <c r="T4" s="1"/>
  <c r="U4"/>
  <c r="V4"/>
  <c r="U5"/>
  <c r="V5"/>
  <c r="E6"/>
  <c r="H6" s="1"/>
  <c r="C7"/>
  <c r="D7"/>
  <c r="G7"/>
  <c r="E8"/>
  <c r="H8" s="1"/>
  <c r="G8"/>
  <c r="G10" s="1"/>
  <c r="U10"/>
  <c r="V10"/>
  <c r="U11"/>
  <c r="V11"/>
  <c r="G16"/>
  <c r="H16" s="1"/>
  <c r="I16"/>
  <c r="B19"/>
  <c r="B21" s="1"/>
  <c r="F14" i="5" l="1"/>
  <c r="F22"/>
  <c r="F20"/>
  <c r="F18"/>
  <c r="F16"/>
  <c r="F12"/>
  <c r="E8"/>
  <c r="H8"/>
  <c r="E9"/>
  <c r="H9"/>
  <c r="E10"/>
  <c r="E11"/>
  <c r="H11"/>
  <c r="E12"/>
  <c r="H12"/>
  <c r="F13"/>
  <c r="E14"/>
  <c r="H14"/>
  <c r="F15"/>
  <c r="E16"/>
  <c r="H16"/>
  <c r="F17"/>
  <c r="E18"/>
  <c r="H18"/>
  <c r="F19"/>
  <c r="E20"/>
  <c r="H20"/>
  <c r="F21"/>
  <c r="E22"/>
  <c r="H22"/>
  <c r="F23"/>
  <c r="F8"/>
  <c r="F9"/>
  <c r="F11"/>
  <c r="E13"/>
  <c r="E15"/>
  <c r="E17"/>
  <c r="E19"/>
  <c r="E21"/>
  <c r="E23"/>
  <c r="AE6" i="4"/>
  <c r="AC6"/>
  <c r="C12" i="5"/>
  <c r="C13"/>
  <c r="C14"/>
  <c r="C8"/>
  <c r="C15"/>
  <c r="C16"/>
  <c r="C17"/>
  <c r="C18"/>
  <c r="C19"/>
  <c r="C20"/>
  <c r="C21"/>
  <c r="C22"/>
  <c r="C10"/>
  <c r="C9"/>
  <c r="C11"/>
  <c r="H10" i="4"/>
  <c r="E7"/>
  <c r="J16"/>
  <c r="Q8"/>
  <c r="E9"/>
  <c r="J14"/>
  <c r="Q6"/>
  <c r="D29"/>
  <c r="B31" s="1"/>
  <c r="Q9"/>
  <c r="H14"/>
  <c r="H15"/>
  <c r="J15"/>
  <c r="Q10"/>
  <c r="T5"/>
  <c r="T7"/>
  <c r="AC9" l="1"/>
  <c r="AE9"/>
  <c r="AC7"/>
  <c r="AE7"/>
  <c r="AE10" s="1"/>
  <c r="T13" s="1"/>
  <c r="Q7"/>
  <c r="Q12" s="1"/>
  <c r="H9"/>
  <c r="H7"/>
  <c r="A14" l="1"/>
  <c r="A15" s="1"/>
  <c r="A16" s="1"/>
  <c r="I32"/>
  <c r="K6"/>
  <c r="J6" s="1"/>
  <c r="L6" s="1"/>
  <c r="AC11"/>
  <c r="K9"/>
  <c r="J9" s="1"/>
  <c r="M9" s="1"/>
  <c r="M6" s="1"/>
  <c r="M1" s="1"/>
  <c r="AC10"/>
  <c r="AC12" s="1"/>
  <c r="T12" s="1"/>
  <c r="A17"/>
  <c r="I34" l="1"/>
  <c r="I33"/>
  <c r="U6"/>
  <c r="O6"/>
  <c r="L9"/>
  <c r="O9" s="1"/>
  <c r="P9"/>
  <c r="V9"/>
  <c r="I35" l="1"/>
  <c r="L1"/>
  <c r="U9"/>
  <c r="W9" s="1"/>
  <c r="L7"/>
  <c r="L8" s="1"/>
  <c r="O8" s="1"/>
  <c r="U7"/>
  <c r="O7"/>
  <c r="P6"/>
  <c r="M7"/>
  <c r="V6"/>
  <c r="X9" s="1"/>
  <c r="L10" l="1"/>
  <c r="O10" s="1"/>
  <c r="U8"/>
  <c r="V8"/>
  <c r="V7"/>
  <c r="P7"/>
  <c r="M8"/>
  <c r="P8" s="1"/>
  <c r="M10"/>
  <c r="P10" s="1"/>
  <c r="O12"/>
  <c r="P12" l="1"/>
  <c r="P13" l="1"/>
  <c r="I36"/>
  <c r="I37" s="1"/>
</calcChain>
</file>

<file path=xl/sharedStrings.xml><?xml version="1.0" encoding="utf-8"?>
<sst xmlns="http://schemas.openxmlformats.org/spreadsheetml/2006/main" count="308" uniqueCount="270">
  <si>
    <t>Náhradní schema radiátor, u stropu 21,1 V (°C). Osoba 20 V (°C)</t>
  </si>
  <si>
    <t>Náhradní schema podlahovka, u podlahy 20,6 V (°C). Osoba 20 V (°C)</t>
  </si>
  <si>
    <t>náhradní schemata jsou na obrázcích, připomínky prosím pište na  josvav@volny.cz</t>
  </si>
  <si>
    <t>reálné průběhy měřených hodnot odpovídají zde použitému výpočtu.</t>
  </si>
  <si>
    <t>http://volny.cz/josvav/#12</t>
  </si>
  <si>
    <t>Vícepodlažní budovy se počítá každé patro zvlášť. Viz vzory přízemí, podkroví.</t>
  </si>
  <si>
    <t>Lze počítat všechny možné varianty včetně letního chlazení a průběhů bez vytápění.</t>
  </si>
  <si>
    <t xml:space="preserve">Vytápěcí teplota bude dodržena ve středu výšky člověka (0,8m). V levém grafu je rozložení teplot. Bude dopočítán potřebný výkon zdroje v grafu pravém. </t>
  </si>
  <si>
    <t>Nyní můžeme do žlutých polí zadat rozměry objektu a postupně teploty za izolační vrstvou a vodivost použité izolace.  Zvolíme vytápěcí teplotu.</t>
  </si>
  <si>
    <t>I mezi stropem a podlahou existuje poměrně přesně zjistitrelný teplotní spád závislý na okamžitém výkonu zdroje. Z mnoha různých měření tato závislost odpovídala cca 10W/m2K.</t>
  </si>
  <si>
    <t>přes izolaci podlahy k uzlu podlahy. Větrání, obvodové zdi a okna jsou připojeny k uzlu podlahy a uzlu stropu stejným dílem.</t>
  </si>
  <si>
    <t>Vnější napětí / tepoty jsou připojeny přes patřičné odpory do správných uzlů. Tedy teplota střechy přes odpor střešní izolace ke stropu a obdobně teplota podloží</t>
  </si>
  <si>
    <t>jednotlivých izolačních vrstev. Zjednodušeným schematem vytápěné místnosti jsou tedy tři uzly (podlaha, střed výšky osoby a strop) v nichž sledujeme napětí / teplotu.</t>
  </si>
  <si>
    <t xml:space="preserve">I v tepelné technice platí Kirchhoffovy zákony. V ustáleném stavu nebudeme uvažovat tepelné kapacity materiálů a zaměříme se pouze na vodivost/odpory </t>
  </si>
  <si>
    <t>Výpočet ustálených teplot stropu a podlahy.</t>
  </si>
  <si>
    <t>celkem kW:</t>
  </si>
  <si>
    <t>osob</t>
  </si>
  <si>
    <t>TUV (kW/os)</t>
  </si>
  <si>
    <t>R k podlaze</t>
  </si>
  <si>
    <t>R ke stropu</t>
  </si>
  <si>
    <t>MWh/rok</t>
  </si>
  <si>
    <t>výkony (W) podl., rad., klasik</t>
  </si>
  <si>
    <t>poměr rad/podl.:</t>
  </si>
  <si>
    <t>W/K</t>
  </si>
  <si>
    <t>součinitel U  strop/podlaha W/m2K:</t>
  </si>
  <si>
    <t>celkem W</t>
  </si>
  <si>
    <t>radiátory</t>
  </si>
  <si>
    <t>podlahovka</t>
  </si>
  <si>
    <t>http://stavba.tzb-info.cz/tabulky-a-vypocty/140-prostup-tepla-vicevrstvou-konstrukci-a-prubeh-teplot-v-konstrukci</t>
  </si>
  <si>
    <t>větrání 0,3</t>
  </si>
  <si>
    <t>podl</t>
  </si>
  <si>
    <t>podlaha</t>
  </si>
  <si>
    <t>okna</t>
  </si>
  <si>
    <t>obv stěny</t>
  </si>
  <si>
    <t>strop</t>
  </si>
  <si>
    <t>W</t>
  </si>
  <si>
    <t>°C</t>
  </si>
  <si>
    <t>uzel</t>
  </si>
  <si>
    <t>W/(m2K)</t>
  </si>
  <si>
    <t>m2</t>
  </si>
  <si>
    <t>m</t>
  </si>
  <si>
    <t>prostoru</t>
  </si>
  <si>
    <t>překážkou</t>
  </si>
  <si>
    <t>U</t>
  </si>
  <si>
    <t>plocha</t>
  </si>
  <si>
    <t>výška</t>
  </si>
  <si>
    <t>délka</t>
  </si>
  <si>
    <t>šířka</t>
  </si>
  <si>
    <t>rad</t>
  </si>
  <si>
    <t>vyska</t>
  </si>
  <si>
    <t>včetně</t>
  </si>
  <si>
    <t>za</t>
  </si>
  <si>
    <t>součinitel</t>
  </si>
  <si>
    <t>bezne</t>
  </si>
  <si>
    <t>rad.</t>
  </si>
  <si>
    <t>podl.</t>
  </si>
  <si>
    <t>teplota</t>
  </si>
  <si>
    <t>výpočtové teploty dle výšky</t>
  </si>
  <si>
    <t>Ztráty počítané metodou PENB</t>
  </si>
  <si>
    <t>vytápěná teplota:</t>
  </si>
  <si>
    <t>teploty v závislosti na výšce. Modrá podlahovka, červená radiátory.</t>
  </si>
  <si>
    <t>TZ(kW)</t>
  </si>
  <si>
    <t>normovaná spotřeba TUV:</t>
  </si>
  <si>
    <t>kW při normované spotřebě 50l/den</t>
  </si>
  <si>
    <t>kW, topný výkon TUV.</t>
  </si>
  <si>
    <t>zadávejte žlutá pole !!</t>
  </si>
  <si>
    <t>náhrada více položek za předpokladu stejných teplot za překážkou:</t>
  </si>
  <si>
    <t>plocha (m2):</t>
  </si>
  <si>
    <t>U  W/(m2K)</t>
  </si>
  <si>
    <t>celkem:</t>
  </si>
  <si>
    <t>E7 a E8 upravte vzorce.</t>
  </si>
  <si>
    <t>Popis výpočtu dole!</t>
  </si>
  <si>
    <t>KK Vávra</t>
  </si>
  <si>
    <t>TČ Švarc</t>
  </si>
  <si>
    <t>přímotop</t>
  </si>
  <si>
    <t>kWh/rok</t>
  </si>
  <si>
    <t>TZ</t>
  </si>
  <si>
    <t>Kč/kWh</t>
  </si>
  <si>
    <t>životnost roků:</t>
  </si>
  <si>
    <t>investice Kč</t>
  </si>
  <si>
    <t>klimatizace</t>
  </si>
  <si>
    <t>Roční náklady (Kč) v závislosti na TZ objektu.</t>
  </si>
  <si>
    <t>Amortizace zařízení/rozpočet nákupní ceny</t>
  </si>
  <si>
    <t>údržba</t>
  </si>
  <si>
    <t>Účinnost/SCOP</t>
  </si>
  <si>
    <t>Reálná účinnost zařízení, v případě tepelného čerpadla reálný SCOP.</t>
  </si>
  <si>
    <t>Náklady na pravidelnou roční údržbu + paušály</t>
  </si>
  <si>
    <t>nízkoteplotní kotel</t>
  </si>
  <si>
    <t>amortizace Kč/rok</t>
  </si>
  <si>
    <t>hustota Kg/m3</t>
  </si>
  <si>
    <t>tepelná jímavost kJ/(kgK)</t>
  </si>
  <si>
    <t>tloušťka(m)</t>
  </si>
  <si>
    <t>J/K</t>
  </si>
  <si>
    <t>T dní</t>
  </si>
  <si>
    <t>počet</t>
  </si>
  <si>
    <t>tloušťka materiálu v metrech před většinovým izolantem.</t>
  </si>
  <si>
    <t>v případě homogenní zdi počítat polovinu tloušťky.</t>
  </si>
  <si>
    <t>beton, plná cihla</t>
  </si>
  <si>
    <t>objemová hmotnost materiálu:</t>
  </si>
  <si>
    <t>Porotherm</t>
  </si>
  <si>
    <t>Heluz</t>
  </si>
  <si>
    <t>Ytong</t>
  </si>
  <si>
    <t>sádrokarton</t>
  </si>
  <si>
    <t>dřevo</t>
  </si>
  <si>
    <t>plná cihla</t>
  </si>
  <si>
    <t>beton</t>
  </si>
  <si>
    <t>tepelná jímavost</t>
  </si>
  <si>
    <t>W/(mK)</t>
  </si>
  <si>
    <t>dní je časová konstanta budovy - doplnte vpravo</t>
  </si>
  <si>
    <t>tun celkem:</t>
  </si>
  <si>
    <t>součet</t>
  </si>
  <si>
    <t>tun je celková váha budovy</t>
  </si>
  <si>
    <t>m2 je celková plocha obálky</t>
  </si>
  <si>
    <t>navýšení teploty vzduchu v K</t>
  </si>
  <si>
    <t>http://forum.tzb-info.cz/138969-podlahove-vytapeni-teplovodni-na-masivni-plovouci-zakladove-desce#text25</t>
  </si>
  <si>
    <t>dT strop/podl:</t>
  </si>
  <si>
    <t>W do stěn</t>
  </si>
  <si>
    <t>W pokles větrání</t>
  </si>
  <si>
    <t>ušetří radiátory poklesem teplot stěn</t>
  </si>
  <si>
    <t>rozdíl podl-rad</t>
  </si>
  <si>
    <t>Pokud uvažujeme navýšení teploty vzduchu proti stěnám, pak vychází radiátory nepatrně výhodnější.</t>
  </si>
  <si>
    <t>kWh/(m2*rok)</t>
  </si>
  <si>
    <t>kWh/(m3*rok)</t>
  </si>
  <si>
    <t>objemový faktor m2/m3</t>
  </si>
  <si>
    <t>akumulace</t>
  </si>
  <si>
    <t>TČ "Mercedes"</t>
  </si>
  <si>
    <t>uhlí</t>
  </si>
  <si>
    <t>Očekávaná životnost zařízení - počet let.</t>
  </si>
  <si>
    <t>MJ/kg</t>
  </si>
  <si>
    <t>Kč/q</t>
  </si>
  <si>
    <t>ořech 1 Bílina - 121 o1 (hnědé uhlí)</t>
  </si>
  <si>
    <t>kostka Bílina - 113 ko2 (hnědé uhlí)</t>
  </si>
  <si>
    <t>název</t>
  </si>
  <si>
    <t>Bílinské Ledvice Ořech 1</t>
  </si>
  <si>
    <t>Mostecké Ořech 1</t>
  </si>
  <si>
    <t>Černé uhlí OKD</t>
  </si>
  <si>
    <t>Černé uhlí KHW</t>
  </si>
  <si>
    <t>Černé uhlí Silesia</t>
  </si>
  <si>
    <t>Koks OKD 20-40</t>
  </si>
  <si>
    <t>Brikety Rekord</t>
  </si>
  <si>
    <t>Brikety Union</t>
  </si>
  <si>
    <t>https://www.energoportal.cz/forum/obrazek.php?id_zaznamu=130327&amp;identifikator=2113179132595556&amp;nazev=&amp;id_oblasti=100</t>
  </si>
  <si>
    <t>čistý uhlík - měrné palivo</t>
  </si>
  <si>
    <t>poměr k ideálnímu uhlíku:</t>
  </si>
  <si>
    <t>metan  (m3)</t>
  </si>
  <si>
    <t>vodík   (kg)</t>
  </si>
  <si>
    <t>metan  (m3)  kWh</t>
  </si>
  <si>
    <t>Proč to není 9,5?</t>
  </si>
  <si>
    <t>metan (kg)</t>
  </si>
  <si>
    <t>atomová hmotnost metanu</t>
  </si>
  <si>
    <t>atomová hmotnost vzduchu</t>
  </si>
  <si>
    <t>poměr metan/vzduch</t>
  </si>
  <si>
    <t>kg/m3  měrná hmotnost metanu z výhřevnosti</t>
  </si>
  <si>
    <t>kg/m3  měrná hmotnost metanu z atomových čísel</t>
  </si>
  <si>
    <t>https://cs.wikipedia.org/wiki/V%C3%BDh%C5%99evnost</t>
  </si>
  <si>
    <t>https://cs.wikipedia.org/wiki/M%C4%9Brn%C3%A9_palivo</t>
  </si>
  <si>
    <t>kWh/prm</t>
  </si>
  <si>
    <t>kWh/kg*</t>
  </si>
  <si>
    <t>javor</t>
  </si>
  <si>
    <t>bříza</t>
  </si>
  <si>
    <t>dub</t>
  </si>
  <si>
    <t>olše</t>
  </si>
  <si>
    <t>jasan</t>
  </si>
  <si>
    <t>smrk</t>
  </si>
  <si>
    <t>borovice</t>
  </si>
  <si>
    <t>modřín</t>
  </si>
  <si>
    <t>topol</t>
  </si>
  <si>
    <t>buk</t>
  </si>
  <si>
    <t>habr</t>
  </si>
  <si>
    <t>jedle</t>
  </si>
  <si>
    <t>http://www.topte-drevem.cz/palivove-drevo-1/jaka-je-vyhrevnost-/</t>
  </si>
  <si>
    <t>Kč/prms</t>
  </si>
  <si>
    <t>dřevo:</t>
  </si>
  <si>
    <t xml:space="preserve">http://www.vaseteplo.eu/ </t>
  </si>
  <si>
    <t xml:space="preserve">http://www.uhlinovak.cz/porovnani.html </t>
  </si>
  <si>
    <t>mírný tanec</t>
  </si>
  <si>
    <t>dílny</t>
  </si>
  <si>
    <t>lehká práce u stolu</t>
  </si>
  <si>
    <t>obchodní domy, banky</t>
  </si>
  <si>
    <t>chodící, přecházející</t>
  </si>
  <si>
    <t>obchody, sklady</t>
  </si>
  <si>
    <t>stojící, lehká práce</t>
  </si>
  <si>
    <t>kancelář, byt</t>
  </si>
  <si>
    <t>sedící, mírně aktivní</t>
  </si>
  <si>
    <t>divadlo, kino</t>
  </si>
  <si>
    <t>sedící, odpočívající</t>
  </si>
  <si>
    <t>[g/h]</t>
  </si>
  <si>
    <t>[W]</t>
  </si>
  <si>
    <t>vodní pára</t>
  </si>
  <si>
    <t>teplo citelné</t>
  </si>
  <si>
    <t>28 °C</t>
  </si>
  <si>
    <t>26 °C</t>
  </si>
  <si>
    <t>24 °C</t>
  </si>
  <si>
    <t>činnosti</t>
  </si>
  <si>
    <t>člověka</t>
  </si>
  <si>
    <t>teplota vzduchu</t>
  </si>
  <si>
    <t>metabolické teplo</t>
  </si>
  <si>
    <t>místo</t>
  </si>
  <si>
    <t>činnost</t>
  </si>
  <si>
    <t xml:space="preserve">https://www.tzb-info.cz/tabulky-a-vypocty/61-produkce-tepla-a-vodni-pary-od-lidi </t>
  </si>
  <si>
    <t xml:space="preserve">http://www.qpro.cz/Vlastnosti-vlhkeho-vzduchu </t>
  </si>
  <si>
    <t>2 lidi, noc , 75 m3</t>
  </si>
  <si>
    <t>g vodní páry</t>
  </si>
  <si>
    <t>75 m3, 0°C, 100%</t>
  </si>
  <si>
    <t>g</t>
  </si>
  <si>
    <t>75 m3, 20°C, 100%</t>
  </si>
  <si>
    <t>kJ/kg</t>
  </si>
  <si>
    <t xml:space="preserve">https://cs.wikipedia.org/wiki/M%C4%9Brn%C3%A9_skupensk%C3%A9_teplo_varu </t>
  </si>
  <si>
    <t>J/g</t>
  </si>
  <si>
    <t>J/g/K</t>
  </si>
  <si>
    <t>K??</t>
  </si>
  <si>
    <t>větrání 1/8, tedy 0,125 v případě  12 m2/osobu nestačí, spolehlivě dochází ke kondenzaci na nejchladnějších místech (okna, rohy stěn).</t>
  </si>
  <si>
    <t xml:space="preserve">https://vetrani.tzb-info.cz/vnitrni-prostredi/3042-bytove-vetrani-ve-vztahu-k-produkci-co2-vlhkosti-a-skodlivin-ii </t>
  </si>
  <si>
    <t>ppm CO2 min</t>
  </si>
  <si>
    <t>ppm CO2 max venku</t>
  </si>
  <si>
    <t>ppm bolest hlavy, závratě, nevolnost</t>
  </si>
  <si>
    <t>ppm  max. je Nařízení vlády 178/2001 Sb</t>
  </si>
  <si>
    <t>ppm ztráta vědomí</t>
  </si>
  <si>
    <t>klid</t>
  </si>
  <si>
    <t>lehká práce</t>
  </si>
  <si>
    <t>40-200</t>
  </si>
  <si>
    <t>středně těžká</t>
  </si>
  <si>
    <t>120-200</t>
  </si>
  <si>
    <t>těžká</t>
  </si>
  <si>
    <t>200-300</t>
  </si>
  <si>
    <t>koupel</t>
  </si>
  <si>
    <t>sprcha</t>
  </si>
  <si>
    <t>vaření</t>
  </si>
  <si>
    <t>600-1500</t>
  </si>
  <si>
    <t>praní, sušení</t>
  </si>
  <si>
    <t>50-500</t>
  </si>
  <si>
    <t>g/hod</t>
  </si>
  <si>
    <t>% kyslíku</t>
  </si>
  <si>
    <t>% kyslíku minimální.</t>
  </si>
  <si>
    <t>l/hod je produkce CO2 na osobu</t>
  </si>
  <si>
    <t>spalování plynu 100W:</t>
  </si>
  <si>
    <t>litrů plynu/hod</t>
  </si>
  <si>
    <t>litrů vzduchu/hod</t>
  </si>
  <si>
    <t xml:space="preserve">https://www.wikiskripta.eu/w/Mechanika_d%C3%BDch%C3%A1n%C3%AD </t>
  </si>
  <si>
    <t xml:space="preserve">http://www.vernier.cz/stahnout/kucharka/kod/spotreba-kysliku-pri-dychani </t>
  </si>
  <si>
    <t>% odebráno</t>
  </si>
  <si>
    <t>l/hod kyslíku se spotřebuje</t>
  </si>
  <si>
    <t>m3/hod vyhoví koncentraci CO2 1200 ppm</t>
  </si>
  <si>
    <t>g/hod se dodá vodní páry</t>
  </si>
  <si>
    <t>l/hod vzduchu projde plícemi</t>
  </si>
  <si>
    <t>5g/m3 z venku, 17g/m3 je 100% 20°C</t>
  </si>
  <si>
    <t>m3/hod</t>
  </si>
  <si>
    <t>% kyslíku nádech</t>
  </si>
  <si>
    <t>% kyslíku výdech</t>
  </si>
  <si>
    <t>http://www.fitlife.cz/oxid-uhlicity-a-voda</t>
  </si>
  <si>
    <t>výdech 100násobek CO2</t>
  </si>
  <si>
    <t>l/hod vzduch</t>
  </si>
  <si>
    <t>MJ/kg čistý uhlík</t>
  </si>
  <si>
    <t>CO2</t>
  </si>
  <si>
    <t>l/hod kyslík (0,012 kg )</t>
  </si>
  <si>
    <t>12 + 2 x 16 je 44</t>
  </si>
  <si>
    <t>kW</t>
  </si>
  <si>
    <t>kg uhlíku za hod</t>
  </si>
  <si>
    <t>MJ</t>
  </si>
  <si>
    <t>MW</t>
  </si>
  <si>
    <t>W metabolický výkon</t>
  </si>
  <si>
    <t>tedy 30000 ppm tj 3%</t>
  </si>
  <si>
    <t>litrůkyslíku</t>
  </si>
  <si>
    <t xml:space="preserve">http://kondenzace.kvalitne.cz/vypocet-tepelnych-ztrat-objektu/ </t>
  </si>
  <si>
    <t>podrobnější výpočet na stránce</t>
  </si>
  <si>
    <t xml:space="preserve">http://kondenzace.kvalitne.cz/podlahove-vytapeni/ </t>
  </si>
  <si>
    <t>Vyplňujte pouze žlutá pole!!</t>
  </si>
  <si>
    <t>Zde sepsány investice do jednotlivých variant. Od přímotopů za 5000 Kč  po tepelné čerpadlo za 250 000 Kč.</t>
  </si>
  <si>
    <t>Nákupní cena energie Kč/kWh</t>
  </si>
  <si>
    <t>nabídka SPP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</si>
</sst>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.5"/>
      <color rgb="FF28282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1" applyAlignment="1" applyProtection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 applyFont="1"/>
    <xf numFmtId="44" fontId="0" fillId="0" borderId="0" xfId="0" applyNumberFormat="1"/>
    <xf numFmtId="44" fontId="1" fillId="0" borderId="0" xfId="0" applyNumberFormat="1" applyFont="1"/>
    <xf numFmtId="9" fontId="0" fillId="2" borderId="0" xfId="0" applyNumberFormat="1" applyFill="1" applyAlignment="1">
      <alignment horizontal="center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wrapText="1"/>
    </xf>
    <xf numFmtId="9" fontId="0" fillId="2" borderId="0" xfId="0" applyNumberFormat="1" applyFill="1"/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/>
    <xf numFmtId="0" fontId="1" fillId="0" borderId="0" xfId="0" applyFont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xVal>
            <c:numRef>
              <c:f>bungalov!$U$4:$U$11</c:f>
              <c:numCache>
                <c:formatCode>General</c:formatCode>
                <c:ptCount val="8"/>
                <c:pt idx="0">
                  <c:v>-15</c:v>
                </c:pt>
                <c:pt idx="1">
                  <c:v>-15</c:v>
                </c:pt>
                <c:pt idx="2">
                  <c:v>20.124235722648624</c:v>
                </c:pt>
                <c:pt idx="3">
                  <c:v>20.768180044230512</c:v>
                </c:pt>
                <c:pt idx="4">
                  <c:v>20.999999999999993</c:v>
                </c:pt>
                <c:pt idx="5">
                  <c:v>21.412124365812403</c:v>
                </c:pt>
                <c:pt idx="6">
                  <c:v>5</c:v>
                </c:pt>
                <c:pt idx="7">
                  <c:v>5</c:v>
                </c:pt>
              </c:numCache>
            </c:numRef>
          </c:xVal>
          <c:yVal>
            <c:numRef>
              <c:f>bungalov!$T$4:$T$11</c:f>
              <c:numCache>
                <c:formatCode>General</c:formatCode>
                <c:ptCount val="8"/>
                <c:pt idx="0">
                  <c:v>3</c:v>
                </c:pt>
                <c:pt idx="1">
                  <c:v>2.75</c:v>
                </c:pt>
                <c:pt idx="2">
                  <c:v>2.5</c:v>
                </c:pt>
                <c:pt idx="3">
                  <c:v>1.25</c:v>
                </c:pt>
                <c:pt idx="4">
                  <c:v>0.8</c:v>
                </c:pt>
                <c:pt idx="5">
                  <c:v>0</c:v>
                </c:pt>
                <c:pt idx="6">
                  <c:v>-0.25</c:v>
                </c:pt>
                <c:pt idx="7">
                  <c:v>-0.5</c:v>
                </c:pt>
              </c:numCache>
            </c:numRef>
          </c:yVal>
        </c:ser>
        <c:ser>
          <c:idx val="1"/>
          <c:order val="1"/>
          <c:xVal>
            <c:numRef>
              <c:f>bungalov!$V$4:$V$11</c:f>
              <c:numCache>
                <c:formatCode>General</c:formatCode>
                <c:ptCount val="8"/>
                <c:pt idx="0">
                  <c:v>-15</c:v>
                </c:pt>
                <c:pt idx="1">
                  <c:v>-15</c:v>
                </c:pt>
                <c:pt idx="2">
                  <c:v>21.92711064499213</c:v>
                </c:pt>
                <c:pt idx="3">
                  <c:v>21.245411641321446</c:v>
                </c:pt>
                <c:pt idx="4">
                  <c:v>20.999999999999996</c:v>
                </c:pt>
                <c:pt idx="5">
                  <c:v>20.56371263765076</c:v>
                </c:pt>
                <c:pt idx="6">
                  <c:v>5</c:v>
                </c:pt>
                <c:pt idx="7">
                  <c:v>5</c:v>
                </c:pt>
              </c:numCache>
            </c:numRef>
          </c:xVal>
          <c:yVal>
            <c:numRef>
              <c:f>bungalov!$T$4:$T$11</c:f>
              <c:numCache>
                <c:formatCode>General</c:formatCode>
                <c:ptCount val="8"/>
                <c:pt idx="0">
                  <c:v>3</c:v>
                </c:pt>
                <c:pt idx="1">
                  <c:v>2.75</c:v>
                </c:pt>
                <c:pt idx="2">
                  <c:v>2.5</c:v>
                </c:pt>
                <c:pt idx="3">
                  <c:v>1.25</c:v>
                </c:pt>
                <c:pt idx="4">
                  <c:v>0.8</c:v>
                </c:pt>
                <c:pt idx="5">
                  <c:v>0</c:v>
                </c:pt>
                <c:pt idx="6">
                  <c:v>-0.25</c:v>
                </c:pt>
                <c:pt idx="7">
                  <c:v>-0.5</c:v>
                </c:pt>
              </c:numCache>
            </c:numRef>
          </c:yVal>
        </c:ser>
        <c:axId val="59968512"/>
        <c:axId val="59986688"/>
      </c:scatterChart>
      <c:valAx>
        <c:axId val="5996851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9986688"/>
        <c:crosses val="autoZero"/>
        <c:crossBetween val="midCat"/>
      </c:valAx>
      <c:valAx>
        <c:axId val="59986688"/>
        <c:scaling>
          <c:orientation val="minMax"/>
          <c:min val="-1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9968512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val>
            <c:numRef>
              <c:f>bungalov!$O$12:$Q$12</c:f>
              <c:numCache>
                <c:formatCode>General</c:formatCode>
                <c:ptCount val="3"/>
                <c:pt idx="0">
                  <c:v>3883.0107974502398</c:v>
                </c:pt>
                <c:pt idx="1">
                  <c:v>3913.0445726271632</c:v>
                </c:pt>
                <c:pt idx="2">
                  <c:v>3897.6</c:v>
                </c:pt>
              </c:numCache>
            </c:numRef>
          </c:val>
        </c:ser>
        <c:axId val="59993472"/>
        <c:axId val="60007552"/>
      </c:barChart>
      <c:catAx>
        <c:axId val="599934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0007552"/>
        <c:crosses val="autoZero"/>
        <c:auto val="1"/>
        <c:lblAlgn val="ctr"/>
        <c:lblOffset val="100"/>
      </c:catAx>
      <c:valAx>
        <c:axId val="600075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999347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val>
            <c:numRef>
              <c:f>bungalov!$O$6:$O$10</c:f>
              <c:numCache>
                <c:formatCode>General</c:formatCode>
                <c:ptCount val="5"/>
                <c:pt idx="0">
                  <c:v>505.78899440614009</c:v>
                </c:pt>
                <c:pt idx="1">
                  <c:v>751.13178092884073</c:v>
                </c:pt>
                <c:pt idx="2">
                  <c:v>708.20996487576417</c:v>
                </c:pt>
                <c:pt idx="3">
                  <c:v>630.22557564719625</c:v>
                </c:pt>
                <c:pt idx="4">
                  <c:v>1287.6544815922985</c:v>
                </c:pt>
              </c:numCache>
            </c:numRef>
          </c:val>
        </c:ser>
        <c:ser>
          <c:idx val="1"/>
          <c:order val="1"/>
          <c:val>
            <c:numRef>
              <c:f>bungalov!$P$6:$P$10</c:f>
              <c:numCache>
                <c:formatCode>General</c:formatCode>
                <c:ptCount val="5"/>
                <c:pt idx="0">
                  <c:v>531.7503932878866</c:v>
                </c:pt>
                <c:pt idx="1">
                  <c:v>761.15364446775038</c:v>
                </c:pt>
                <c:pt idx="2">
                  <c:v>717.65915049816465</c:v>
                </c:pt>
                <c:pt idx="3">
                  <c:v>597.64656528578917</c:v>
                </c:pt>
                <c:pt idx="4">
                  <c:v>1304.8348190875722</c:v>
                </c:pt>
              </c:numCache>
            </c:numRef>
          </c:val>
        </c:ser>
        <c:axId val="62023168"/>
        <c:axId val="62024704"/>
      </c:barChart>
      <c:catAx>
        <c:axId val="62023168"/>
        <c:scaling>
          <c:orientation val="maxMin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2024704"/>
        <c:crosses val="autoZero"/>
        <c:auto val="1"/>
        <c:lblAlgn val="ctr"/>
        <c:lblOffset val="100"/>
      </c:catAx>
      <c:valAx>
        <c:axId val="62024704"/>
        <c:scaling>
          <c:orientation val="minMax"/>
        </c:scaling>
        <c:axPos val="t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202316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tx>
            <c:strRef>
              <c:f>'rocni naklady'!$C$7</c:f>
              <c:strCache>
                <c:ptCount val="1"/>
                <c:pt idx="0">
                  <c:v>přímotop</c:v>
                </c:pt>
              </c:strCache>
            </c:strRef>
          </c:tx>
          <c:marker>
            <c:symbol val="none"/>
          </c:marker>
          <c:xVal>
            <c:numRef>
              <c:f>'rocni naklady'!$A$8:$A$13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'rocni naklady'!$C$8:$C$13</c:f>
              <c:numCache>
                <c:formatCode>General</c:formatCode>
                <c:ptCount val="6"/>
                <c:pt idx="0">
                  <c:v>333.33333333333331</c:v>
                </c:pt>
                <c:pt idx="1">
                  <c:v>5877.333333333333</c:v>
                </c:pt>
                <c:pt idx="2">
                  <c:v>11421.333333333334</c:v>
                </c:pt>
                <c:pt idx="3">
                  <c:v>16965.333333333332</c:v>
                </c:pt>
                <c:pt idx="4">
                  <c:v>22509.333333333332</c:v>
                </c:pt>
                <c:pt idx="5">
                  <c:v>28053.333333333332</c:v>
                </c:pt>
              </c:numCache>
            </c:numRef>
          </c:yVal>
        </c:ser>
        <c:ser>
          <c:idx val="1"/>
          <c:order val="1"/>
          <c:tx>
            <c:strRef>
              <c:f>'rocni naklady'!$D$7</c:f>
              <c:strCache>
                <c:ptCount val="1"/>
                <c:pt idx="0">
                  <c:v>akumulace</c:v>
                </c:pt>
              </c:strCache>
            </c:strRef>
          </c:tx>
          <c:marker>
            <c:symbol val="none"/>
          </c:marker>
          <c:xVal>
            <c:numRef>
              <c:f>'rocni naklady'!$A$8:$A$13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'rocni naklady'!$D$8:$D$13</c:f>
              <c:numCache>
                <c:formatCode>General</c:formatCode>
                <c:ptCount val="6"/>
                <c:pt idx="0">
                  <c:v>1333.3333333333333</c:v>
                </c:pt>
                <c:pt idx="1">
                  <c:v>5821.333333333333</c:v>
                </c:pt>
                <c:pt idx="2">
                  <c:v>10309.333333333334</c:v>
                </c:pt>
                <c:pt idx="3">
                  <c:v>14797.333333333334</c:v>
                </c:pt>
                <c:pt idx="4">
                  <c:v>19285.333333333332</c:v>
                </c:pt>
                <c:pt idx="5">
                  <c:v>23773.333333333332</c:v>
                </c:pt>
              </c:numCache>
            </c:numRef>
          </c:yVal>
        </c:ser>
        <c:ser>
          <c:idx val="2"/>
          <c:order val="2"/>
          <c:tx>
            <c:strRef>
              <c:f>'rocni naklady'!$E$7</c:f>
              <c:strCache>
                <c:ptCount val="1"/>
                <c:pt idx="0">
                  <c:v>KK Vávra</c:v>
                </c:pt>
              </c:strCache>
            </c:strRef>
          </c:tx>
          <c:marker>
            <c:symbol val="none"/>
          </c:marker>
          <c:xVal>
            <c:numRef>
              <c:f>'rocni naklady'!$A$8:$A$13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'rocni naklady'!$E$8:$E$13</c:f>
              <c:numCache>
                <c:formatCode>General</c:formatCode>
                <c:ptCount val="6"/>
                <c:pt idx="0">
                  <c:v>5000</c:v>
                </c:pt>
                <c:pt idx="1">
                  <c:v>8612.6315789473683</c:v>
                </c:pt>
                <c:pt idx="2">
                  <c:v>12225.263157894737</c:v>
                </c:pt>
                <c:pt idx="3">
                  <c:v>15837.894736842105</c:v>
                </c:pt>
                <c:pt idx="4">
                  <c:v>19450.526315789473</c:v>
                </c:pt>
                <c:pt idx="5">
                  <c:v>23063.157894736843</c:v>
                </c:pt>
              </c:numCache>
            </c:numRef>
          </c:yVal>
        </c:ser>
        <c:ser>
          <c:idx val="3"/>
          <c:order val="3"/>
          <c:tx>
            <c:strRef>
              <c:f>'rocni naklady'!$F$7</c:f>
              <c:strCache>
                <c:ptCount val="1"/>
                <c:pt idx="0">
                  <c:v>TČ Švarc</c:v>
                </c:pt>
              </c:strCache>
            </c:strRef>
          </c:tx>
          <c:marker>
            <c:symbol val="none"/>
          </c:marker>
          <c:xVal>
            <c:numRef>
              <c:f>'rocni naklady'!$A$8:$A$13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'rocni naklady'!$F$8:$F$13</c:f>
              <c:numCache>
                <c:formatCode>General</c:formatCode>
                <c:ptCount val="6"/>
                <c:pt idx="0">
                  <c:v>5333.333333333333</c:v>
                </c:pt>
                <c:pt idx="1">
                  <c:v>7181.333333333333</c:v>
                </c:pt>
                <c:pt idx="2">
                  <c:v>9029.3333333333321</c:v>
                </c:pt>
                <c:pt idx="3">
                  <c:v>10877.333333333332</c:v>
                </c:pt>
                <c:pt idx="4">
                  <c:v>12725.333333333332</c:v>
                </c:pt>
                <c:pt idx="5">
                  <c:v>14573.333333333332</c:v>
                </c:pt>
              </c:numCache>
            </c:numRef>
          </c:yVal>
        </c:ser>
        <c:ser>
          <c:idx val="4"/>
          <c:order val="4"/>
          <c:tx>
            <c:strRef>
              <c:f>'rocni naklady'!$G$7</c:f>
              <c:strCache>
                <c:ptCount val="1"/>
                <c:pt idx="0">
                  <c:v>TČ "Mercedes"</c:v>
                </c:pt>
              </c:strCache>
            </c:strRef>
          </c:tx>
          <c:marker>
            <c:symbol val="none"/>
          </c:marker>
          <c:xVal>
            <c:numRef>
              <c:f>'rocni naklady'!$A$8:$A$13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'rocni naklady'!$G$8:$G$13</c:f>
              <c:numCache>
                <c:formatCode>General</c:formatCode>
                <c:ptCount val="6"/>
                <c:pt idx="0">
                  <c:v>16666.666666666668</c:v>
                </c:pt>
                <c:pt idx="1">
                  <c:v>18399.166666666668</c:v>
                </c:pt>
                <c:pt idx="2">
                  <c:v>20131.666666666668</c:v>
                </c:pt>
                <c:pt idx="3">
                  <c:v>21864.166666666668</c:v>
                </c:pt>
                <c:pt idx="4">
                  <c:v>23596.666666666668</c:v>
                </c:pt>
                <c:pt idx="5">
                  <c:v>25329.166666666668</c:v>
                </c:pt>
              </c:numCache>
            </c:numRef>
          </c:yVal>
        </c:ser>
        <c:ser>
          <c:idx val="5"/>
          <c:order val="5"/>
          <c:tx>
            <c:strRef>
              <c:f>'rocni naklady'!$H$7</c:f>
              <c:strCache>
                <c:ptCount val="1"/>
                <c:pt idx="0">
                  <c:v>nízkoteplotní kotel</c:v>
                </c:pt>
              </c:strCache>
            </c:strRef>
          </c:tx>
          <c:marker>
            <c:symbol val="none"/>
          </c:marker>
          <c:xVal>
            <c:numRef>
              <c:f>'rocni naklady'!$A$8:$A$13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'rocni naklady'!$H$8:$H$13</c:f>
              <c:numCache>
                <c:formatCode>General</c:formatCode>
                <c:ptCount val="6"/>
                <c:pt idx="0">
                  <c:v>4500</c:v>
                </c:pt>
                <c:pt idx="1">
                  <c:v>9076</c:v>
                </c:pt>
                <c:pt idx="2">
                  <c:v>13652</c:v>
                </c:pt>
                <c:pt idx="3">
                  <c:v>18228</c:v>
                </c:pt>
                <c:pt idx="4">
                  <c:v>22804</c:v>
                </c:pt>
                <c:pt idx="5">
                  <c:v>27380</c:v>
                </c:pt>
              </c:numCache>
            </c:numRef>
          </c:yVal>
        </c:ser>
        <c:ser>
          <c:idx val="6"/>
          <c:order val="6"/>
          <c:tx>
            <c:strRef>
              <c:f>'rocni naklady'!$I$7</c:f>
              <c:strCache>
                <c:ptCount val="1"/>
                <c:pt idx="0">
                  <c:v>klimatizace</c:v>
                </c:pt>
              </c:strCache>
            </c:strRef>
          </c:tx>
          <c:marker>
            <c:symbol val="none"/>
          </c:marker>
          <c:xVal>
            <c:numRef>
              <c:f>'rocni naklady'!$A$8:$A$13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'rocni naklady'!$I$8:$I$13</c:f>
              <c:numCache>
                <c:formatCode>General</c:formatCode>
                <c:ptCount val="6"/>
                <c:pt idx="0">
                  <c:v>2000</c:v>
                </c:pt>
                <c:pt idx="1">
                  <c:v>4772</c:v>
                </c:pt>
                <c:pt idx="2">
                  <c:v>7544</c:v>
                </c:pt>
                <c:pt idx="3">
                  <c:v>10316</c:v>
                </c:pt>
              </c:numCache>
            </c:numRef>
          </c:yVal>
        </c:ser>
        <c:ser>
          <c:idx val="7"/>
          <c:order val="7"/>
          <c:tx>
            <c:strRef>
              <c:f>'rocni naklady'!$J$7</c:f>
              <c:strCache>
                <c:ptCount val="1"/>
                <c:pt idx="0">
                  <c:v>uhlí</c:v>
                </c:pt>
              </c:strCache>
            </c:strRef>
          </c:tx>
          <c:marker>
            <c:symbol val="none"/>
          </c:marker>
          <c:xVal>
            <c:numRef>
              <c:f>'rocni naklady'!$A$8:$A$13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'rocni naklady'!$J$8:$J$13</c:f>
              <c:numCache>
                <c:formatCode>General</c:formatCode>
                <c:ptCount val="6"/>
                <c:pt idx="0">
                  <c:v>3333.3333333333335</c:v>
                </c:pt>
                <c:pt idx="1">
                  <c:v>6388.1904761904771</c:v>
                </c:pt>
                <c:pt idx="2">
                  <c:v>9443.0476190476202</c:v>
                </c:pt>
                <c:pt idx="3">
                  <c:v>12497.904761904763</c:v>
                </c:pt>
                <c:pt idx="4">
                  <c:v>15552.761904761906</c:v>
                </c:pt>
                <c:pt idx="5">
                  <c:v>18607.61904761905</c:v>
                </c:pt>
              </c:numCache>
            </c:numRef>
          </c:yVal>
        </c:ser>
        <c:axId val="61988224"/>
        <c:axId val="62067840"/>
      </c:scatterChart>
      <c:valAx>
        <c:axId val="61988224"/>
        <c:scaling>
          <c:orientation val="minMax"/>
        </c:scaling>
        <c:axPos val="b"/>
        <c:majorGridlines/>
        <c:numFmt formatCode="General" sourceLinked="1"/>
        <c:tickLblPos val="nextTo"/>
        <c:crossAx val="62067840"/>
        <c:crosses val="autoZero"/>
        <c:crossBetween val="midCat"/>
      </c:valAx>
      <c:valAx>
        <c:axId val="62067840"/>
        <c:scaling>
          <c:orientation val="minMax"/>
        </c:scaling>
        <c:axPos val="l"/>
        <c:majorGridlines/>
        <c:numFmt formatCode="General" sourceLinked="1"/>
        <c:tickLblPos val="nextTo"/>
        <c:crossAx val="619882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val>
            <c:numRef>
              <c:f>'rocni naklady'!$W$8:$W$26</c:f>
              <c:numCache>
                <c:formatCode>General</c:formatCode>
                <c:ptCount val="19"/>
                <c:pt idx="0">
                  <c:v>0.60047765267826692</c:v>
                </c:pt>
                <c:pt idx="1">
                  <c:v>0.68236096895257592</c:v>
                </c:pt>
                <c:pt idx="2">
                  <c:v>1.0542476970317298</c:v>
                </c:pt>
                <c:pt idx="3">
                  <c:v>0.98942340498123516</c:v>
                </c:pt>
                <c:pt idx="4">
                  <c:v>0.85295121119071993</c:v>
                </c:pt>
                <c:pt idx="5">
                  <c:v>0.84919822586148075</c:v>
                </c:pt>
                <c:pt idx="6">
                  <c:v>0.64824292050494714</c:v>
                </c:pt>
                <c:pt idx="7">
                  <c:v>0.67553735926305025</c:v>
                </c:pt>
                <c:pt idx="8">
                  <c:v>0</c:v>
                </c:pt>
                <c:pt idx="9">
                  <c:v>0.74342105263157887</c:v>
                </c:pt>
                <c:pt idx="10">
                  <c:v>0.74342105263157887</c:v>
                </c:pt>
                <c:pt idx="11">
                  <c:v>0.7321428571428571</c:v>
                </c:pt>
                <c:pt idx="14">
                  <c:v>0.7734375</c:v>
                </c:pt>
                <c:pt idx="15">
                  <c:v>0.7279411764705882</c:v>
                </c:pt>
                <c:pt idx="18">
                  <c:v>0.7321428571428571</c:v>
                </c:pt>
              </c:numCache>
            </c:numRef>
          </c:val>
        </c:ser>
        <c:axId val="62091648"/>
        <c:axId val="62093184"/>
      </c:barChart>
      <c:catAx>
        <c:axId val="62091648"/>
        <c:scaling>
          <c:orientation val="maxMin"/>
        </c:scaling>
        <c:axPos val="l"/>
        <c:tickLblPos val="nextTo"/>
        <c:crossAx val="62093184"/>
        <c:crosses val="autoZero"/>
        <c:auto val="1"/>
        <c:lblAlgn val="ctr"/>
        <c:lblOffset val="100"/>
      </c:catAx>
      <c:valAx>
        <c:axId val="62093184"/>
        <c:scaling>
          <c:orientation val="minMax"/>
        </c:scaling>
        <c:axPos val="t"/>
        <c:majorGridlines/>
        <c:numFmt formatCode="General" sourceLinked="1"/>
        <c:tickLblPos val="nextTo"/>
        <c:crossAx val="6209164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val>
            <c:numRef>
              <c:f>'rocni naklady'!$AI$8:$AI$17</c:f>
              <c:numCache>
                <c:formatCode>General</c:formatCode>
                <c:ptCount val="10"/>
                <c:pt idx="0">
                  <c:v>0.74342105263157887</c:v>
                </c:pt>
                <c:pt idx="1">
                  <c:v>0.74342105263157887</c:v>
                </c:pt>
                <c:pt idx="2">
                  <c:v>0.7321428571428571</c:v>
                </c:pt>
                <c:pt idx="5">
                  <c:v>0.7734375</c:v>
                </c:pt>
                <c:pt idx="6">
                  <c:v>0.7279411764705882</c:v>
                </c:pt>
                <c:pt idx="9">
                  <c:v>0.7321428571428571</c:v>
                </c:pt>
              </c:numCache>
            </c:numRef>
          </c:val>
        </c:ser>
        <c:axId val="62116608"/>
        <c:axId val="62118144"/>
      </c:barChart>
      <c:catAx>
        <c:axId val="62116608"/>
        <c:scaling>
          <c:orientation val="maxMin"/>
        </c:scaling>
        <c:axPos val="l"/>
        <c:tickLblPos val="nextTo"/>
        <c:crossAx val="62118144"/>
        <c:crosses val="autoZero"/>
        <c:auto val="1"/>
        <c:lblAlgn val="ctr"/>
        <c:lblOffset val="100"/>
      </c:catAx>
      <c:valAx>
        <c:axId val="62118144"/>
        <c:scaling>
          <c:orientation val="minMax"/>
        </c:scaling>
        <c:axPos val="t"/>
        <c:majorGridlines/>
        <c:numFmt formatCode="General" sourceLinked="1"/>
        <c:tickLblPos val="nextTo"/>
        <c:crossAx val="6211660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val>
            <c:numRef>
              <c:f>'rocni naklady'!$V$8:$V$15</c:f>
              <c:numCache>
                <c:formatCode>_-* #,##0.00\ "Kč"_-;\-* #,##0.00\ "Kč"_-;_-* "-"??\ "Kč"_-;_-@_-</c:formatCode>
                <c:ptCount val="8"/>
                <c:pt idx="0">
                  <c:v>0.83096590909090895</c:v>
                </c:pt>
                <c:pt idx="1">
                  <c:v>0.67275000000000007</c:v>
                </c:pt>
                <c:pt idx="2">
                  <c:v>0.8810679611650486</c:v>
                </c:pt>
                <c:pt idx="3">
                  <c:v>0.83948275862068955</c:v>
                </c:pt>
                <c:pt idx="4">
                  <c:v>0.95399999999999996</c:v>
                </c:pt>
                <c:pt idx="5">
                  <c:v>1.2294094013660104</c:v>
                </c:pt>
                <c:pt idx="6">
                  <c:v>1.0657894736842104</c:v>
                </c:pt>
                <c:pt idx="7">
                  <c:v>1.009090909090909</c:v>
                </c:pt>
              </c:numCache>
            </c:numRef>
          </c:val>
        </c:ser>
        <c:axId val="62137472"/>
        <c:axId val="62139008"/>
      </c:barChart>
      <c:catAx>
        <c:axId val="62137472"/>
        <c:scaling>
          <c:orientation val="maxMin"/>
        </c:scaling>
        <c:axPos val="l"/>
        <c:tickLblPos val="nextTo"/>
        <c:crossAx val="62139008"/>
        <c:crosses val="autoZero"/>
        <c:auto val="1"/>
        <c:lblAlgn val="ctr"/>
        <c:lblOffset val="100"/>
      </c:catAx>
      <c:valAx>
        <c:axId val="62139008"/>
        <c:scaling>
          <c:orientation val="minMax"/>
        </c:scaling>
        <c:axPos val="t"/>
        <c:majorGridlines/>
        <c:numFmt formatCode="_-* #,##0.00\ &quot;Kč&quot;_-;\-* #,##0.00\ &quot;Kč&quot;_-;_-* &quot;-&quot;??\ &quot;Kč&quot;_-;_-@_-" sourceLinked="1"/>
        <c:tickLblPos val="nextTo"/>
        <c:crossAx val="6213747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teplo'!$D$8:$D$13</c:f>
              <c:numCache>
                <c:formatCode>General</c:formatCode>
                <c:ptCount val="6"/>
                <c:pt idx="0">
                  <c:v>74</c:v>
                </c:pt>
                <c:pt idx="1">
                  <c:v>74</c:v>
                </c:pt>
                <c:pt idx="2">
                  <c:v>72</c:v>
                </c:pt>
                <c:pt idx="3">
                  <c:v>77</c:v>
                </c:pt>
                <c:pt idx="4">
                  <c:v>79</c:v>
                </c:pt>
                <c:pt idx="5">
                  <c:v>92</c:v>
                </c:pt>
              </c:numCache>
            </c:numRef>
          </c:yVal>
        </c:ser>
        <c:ser>
          <c:idx val="1"/>
          <c:order val="1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teplo'!$E$8:$E$13</c:f>
              <c:numCache>
                <c:formatCode>General</c:formatCode>
                <c:ptCount val="6"/>
                <c:pt idx="0">
                  <c:v>60</c:v>
                </c:pt>
                <c:pt idx="1">
                  <c:v>98</c:v>
                </c:pt>
                <c:pt idx="2">
                  <c:v>116</c:v>
                </c:pt>
                <c:pt idx="3">
                  <c:v>124</c:v>
                </c:pt>
                <c:pt idx="4">
                  <c:v>225</c:v>
                </c:pt>
                <c:pt idx="5">
                  <c:v>250</c:v>
                </c:pt>
              </c:numCache>
            </c:numRef>
          </c:yVal>
        </c:ser>
        <c:ser>
          <c:idx val="2"/>
          <c:order val="2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teplo'!$F$8:$F$13</c:f>
              <c:numCache>
                <c:formatCode>General</c:formatCode>
                <c:ptCount val="6"/>
                <c:pt idx="0">
                  <c:v>62</c:v>
                </c:pt>
                <c:pt idx="1">
                  <c:v>62</c:v>
                </c:pt>
                <c:pt idx="2">
                  <c:v>60</c:v>
                </c:pt>
                <c:pt idx="3">
                  <c:v>64</c:v>
                </c:pt>
                <c:pt idx="4">
                  <c:v>66</c:v>
                </c:pt>
                <c:pt idx="5">
                  <c:v>77</c:v>
                </c:pt>
              </c:numCache>
            </c:numRef>
          </c:yVal>
        </c:ser>
        <c:ser>
          <c:idx val="3"/>
          <c:order val="3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teplo'!$G$8:$G$13</c:f>
              <c:numCache>
                <c:formatCode>General</c:formatCode>
                <c:ptCount val="6"/>
                <c:pt idx="0">
                  <c:v>79</c:v>
                </c:pt>
                <c:pt idx="1">
                  <c:v>116</c:v>
                </c:pt>
                <c:pt idx="2">
                  <c:v>134</c:v>
                </c:pt>
                <c:pt idx="3">
                  <c:v>143</c:v>
                </c:pt>
                <c:pt idx="4">
                  <c:v>244</c:v>
                </c:pt>
                <c:pt idx="5">
                  <c:v>273</c:v>
                </c:pt>
              </c:numCache>
            </c:numRef>
          </c:yVal>
        </c:ser>
        <c:ser>
          <c:idx val="4"/>
          <c:order val="4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teplo'!$H$8:$H$13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48</c:v>
                </c:pt>
                <c:pt idx="3">
                  <c:v>51</c:v>
                </c:pt>
                <c:pt idx="4">
                  <c:v>53</c:v>
                </c:pt>
                <c:pt idx="5">
                  <c:v>62</c:v>
                </c:pt>
              </c:numCache>
            </c:numRef>
          </c:yVal>
        </c:ser>
        <c:ser>
          <c:idx val="5"/>
          <c:order val="5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teplo'!$I$8:$I$13</c:f>
              <c:numCache>
                <c:formatCode>General</c:formatCode>
                <c:ptCount val="6"/>
                <c:pt idx="0">
                  <c:v>97</c:v>
                </c:pt>
                <c:pt idx="1">
                  <c:v>135</c:v>
                </c:pt>
                <c:pt idx="2">
                  <c:v>152</c:v>
                </c:pt>
                <c:pt idx="3">
                  <c:v>162</c:v>
                </c:pt>
                <c:pt idx="4">
                  <c:v>264</c:v>
                </c:pt>
                <c:pt idx="5">
                  <c:v>296</c:v>
                </c:pt>
              </c:numCache>
            </c:numRef>
          </c:yVal>
        </c:ser>
        <c:axId val="62199680"/>
        <c:axId val="62201216"/>
      </c:scatterChart>
      <c:valAx>
        <c:axId val="62199680"/>
        <c:scaling>
          <c:orientation val="minMax"/>
        </c:scaling>
        <c:axPos val="b"/>
        <c:numFmt formatCode="General" sourceLinked="1"/>
        <c:tickLblPos val="nextTo"/>
        <c:crossAx val="62201216"/>
        <c:crosses val="autoZero"/>
        <c:crossBetween val="midCat"/>
      </c:valAx>
      <c:valAx>
        <c:axId val="62201216"/>
        <c:scaling>
          <c:orientation val="minMax"/>
        </c:scaling>
        <c:axPos val="l"/>
        <c:majorGridlines/>
        <c:numFmt formatCode="General" sourceLinked="1"/>
        <c:tickLblPos val="nextTo"/>
        <c:crossAx val="6219968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teplo'!$K$8:$K$13</c:f>
              <c:numCache>
                <c:formatCode>General</c:formatCode>
                <c:ptCount val="6"/>
                <c:pt idx="0">
                  <c:v>2460</c:v>
                </c:pt>
                <c:pt idx="1">
                  <c:v>2424.4897959183672</c:v>
                </c:pt>
                <c:pt idx="2">
                  <c:v>2420.6896551724139</c:v>
                </c:pt>
                <c:pt idx="3">
                  <c:v>2409.6774193548385</c:v>
                </c:pt>
                <c:pt idx="4">
                  <c:v>2416</c:v>
                </c:pt>
                <c:pt idx="5">
                  <c:v>2419.2000000000003</c:v>
                </c:pt>
              </c:numCache>
            </c:numRef>
          </c:yVal>
        </c:ser>
        <c:ser>
          <c:idx val="1"/>
          <c:order val="1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teplo'!$L$8:$L$13</c:f>
              <c:numCache>
                <c:formatCode>General</c:formatCode>
                <c:ptCount val="6"/>
              </c:numCache>
            </c:numRef>
          </c:yVal>
        </c:ser>
        <c:ser>
          <c:idx val="2"/>
          <c:order val="2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teplo'!$M$8:$M$13</c:f>
              <c:numCache>
                <c:formatCode>General</c:formatCode>
                <c:ptCount val="6"/>
                <c:pt idx="0">
                  <c:v>2415.1898734177216</c:v>
                </c:pt>
                <c:pt idx="1">
                  <c:v>2420.6896551724139</c:v>
                </c:pt>
                <c:pt idx="2">
                  <c:v>2417.9104477611941</c:v>
                </c:pt>
                <c:pt idx="3">
                  <c:v>2416.7832167832171</c:v>
                </c:pt>
                <c:pt idx="4">
                  <c:v>2419.6721311475408</c:v>
                </c:pt>
                <c:pt idx="5">
                  <c:v>2413.1868131868132</c:v>
                </c:pt>
              </c:numCache>
            </c:numRef>
          </c:yVal>
        </c:ser>
        <c:ser>
          <c:idx val="3"/>
          <c:order val="3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teplo'!$N$8:$N$13</c:f>
              <c:numCache>
                <c:formatCode>General</c:formatCode>
                <c:ptCount val="6"/>
              </c:numCache>
            </c:numRef>
          </c:yVal>
        </c:ser>
        <c:ser>
          <c:idx val="4"/>
          <c:order val="4"/>
          <c:xVal>
            <c:numRef>
              <c:f>'metabolické teplo'!$C$8:$C$13</c:f>
              <c:numCache>
                <c:formatCode>General</c:formatCode>
                <c:ptCount val="6"/>
                <c:pt idx="0">
                  <c:v>115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230</c:v>
                </c:pt>
                <c:pt idx="5">
                  <c:v>260</c:v>
                </c:pt>
              </c:numCache>
            </c:numRef>
          </c:xVal>
          <c:yVal>
            <c:numRef>
              <c:f>'metabolické teplo'!$O$8:$O$13</c:f>
              <c:numCache>
                <c:formatCode>General</c:formatCode>
                <c:ptCount val="6"/>
                <c:pt idx="0">
                  <c:v>2412.3711340206182</c:v>
                </c:pt>
                <c:pt idx="1">
                  <c:v>2400</c:v>
                </c:pt>
                <c:pt idx="2">
                  <c:v>2415.7894736842104</c:v>
                </c:pt>
                <c:pt idx="3">
                  <c:v>2422.2222222222222</c:v>
                </c:pt>
                <c:pt idx="4">
                  <c:v>2413.6363636363635</c:v>
                </c:pt>
                <c:pt idx="5">
                  <c:v>2408.1081081081084</c:v>
                </c:pt>
              </c:numCache>
            </c:numRef>
          </c:yVal>
        </c:ser>
        <c:axId val="62236160"/>
        <c:axId val="62237696"/>
      </c:scatterChart>
      <c:valAx>
        <c:axId val="62236160"/>
        <c:scaling>
          <c:orientation val="minMax"/>
        </c:scaling>
        <c:axPos val="b"/>
        <c:numFmt formatCode="General" sourceLinked="1"/>
        <c:tickLblPos val="nextTo"/>
        <c:crossAx val="62237696"/>
        <c:crosses val="autoZero"/>
        <c:crossBetween val="midCat"/>
      </c:valAx>
      <c:valAx>
        <c:axId val="62237696"/>
        <c:scaling>
          <c:orientation val="minMax"/>
        </c:scaling>
        <c:axPos val="l"/>
        <c:majorGridlines/>
        <c:numFmt formatCode="General" sourceLinked="1"/>
        <c:tickLblPos val="nextTo"/>
        <c:crossAx val="6223616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18</xdr:row>
      <xdr:rowOff>0</xdr:rowOff>
    </xdr:from>
    <xdr:to>
      <xdr:col>13</xdr:col>
      <xdr:colOff>581026</xdr:colOff>
      <xdr:row>26</xdr:row>
      <xdr:rowOff>114300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476250</xdr:colOff>
      <xdr:row>14</xdr:row>
      <xdr:rowOff>38100</xdr:rowOff>
    </xdr:from>
    <xdr:to>
      <xdr:col>23</xdr:col>
      <xdr:colOff>266700</xdr:colOff>
      <xdr:row>25</xdr:row>
      <xdr:rowOff>57150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53</xdr:row>
      <xdr:rowOff>0</xdr:rowOff>
    </xdr:from>
    <xdr:to>
      <xdr:col>10</xdr:col>
      <xdr:colOff>219075</xdr:colOff>
      <xdr:row>69</xdr:row>
      <xdr:rowOff>57150</xdr:rowOff>
    </xdr:to>
    <xdr:pic>
      <xdr:nvPicPr>
        <xdr:cNvPr id="4" name="Obrázek 3" descr="podlah.GIF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8572500"/>
          <a:ext cx="5895975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23</xdr:col>
      <xdr:colOff>190500</xdr:colOff>
      <xdr:row>69</xdr:row>
      <xdr:rowOff>0</xdr:rowOff>
    </xdr:to>
    <xdr:pic>
      <xdr:nvPicPr>
        <xdr:cNvPr id="5" name="Obrázek 4" descr="rad.GIF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705600" y="8572500"/>
          <a:ext cx="7400925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123825</xdr:colOff>
      <xdr:row>15</xdr:row>
      <xdr:rowOff>142875</xdr:rowOff>
    </xdr:from>
    <xdr:to>
      <xdr:col>18</xdr:col>
      <xdr:colOff>19050</xdr:colOff>
      <xdr:row>26</xdr:row>
      <xdr:rowOff>114300</xdr:rowOff>
    </xdr:to>
    <xdr:graphicFrame macro="">
      <xdr:nvGraphicFramePr>
        <xdr:cNvPr id="6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8</xdr:row>
      <xdr:rowOff>85726</xdr:rowOff>
    </xdr:from>
    <xdr:to>
      <xdr:col>16</xdr:col>
      <xdr:colOff>342900</xdr:colOff>
      <xdr:row>23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190500</xdr:colOff>
      <xdr:row>5</xdr:row>
      <xdr:rowOff>28575</xdr:rowOff>
    </xdr:from>
    <xdr:to>
      <xdr:col>28</xdr:col>
      <xdr:colOff>495300</xdr:colOff>
      <xdr:row>26</xdr:row>
      <xdr:rowOff>133350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152400</xdr:colOff>
      <xdr:row>5</xdr:row>
      <xdr:rowOff>9525</xdr:rowOff>
    </xdr:from>
    <xdr:to>
      <xdr:col>39</xdr:col>
      <xdr:colOff>9525</xdr:colOff>
      <xdr:row>17</xdr:row>
      <xdr:rowOff>161925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142875</xdr:colOff>
      <xdr:row>5</xdr:row>
      <xdr:rowOff>19050</xdr:rowOff>
    </xdr:from>
    <xdr:to>
      <xdr:col>25</xdr:col>
      <xdr:colOff>495299</xdr:colOff>
      <xdr:row>16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13</xdr:row>
      <xdr:rowOff>66676</xdr:rowOff>
    </xdr:from>
    <xdr:to>
      <xdr:col>8</xdr:col>
      <xdr:colOff>771524</xdr:colOff>
      <xdr:row>22</xdr:row>
      <xdr:rowOff>133350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13</xdr:row>
      <xdr:rowOff>133350</xdr:rowOff>
    </xdr:from>
    <xdr:to>
      <xdr:col>15</xdr:col>
      <xdr:colOff>28575</xdr:colOff>
      <xdr:row>22</xdr:row>
      <xdr:rowOff>95249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kondenzace.kvalitne.cz/podlahove-vytapeni/" TargetMode="External"/><Relationship Id="rId1" Type="http://schemas.openxmlformats.org/officeDocument/2006/relationships/hyperlink" Target="http://volny.cz/josva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kondenzace.kvalitne.cz/vypocet-tepelnych-ztrat-objektu/" TargetMode="External"/><Relationship Id="rId2" Type="http://schemas.openxmlformats.org/officeDocument/2006/relationships/hyperlink" Target="http://www.uhlinovak.cz/porovnani.html" TargetMode="External"/><Relationship Id="rId1" Type="http://schemas.openxmlformats.org/officeDocument/2006/relationships/hyperlink" Target="http://www.vaseteplo.e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s.wikipedia.org/wiki/M%C4%9Brn%C3%A9_skupensk%C3%A9_teplo_varu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qpro.cz/Vlastnosti-vlhkeho-vzduchu" TargetMode="External"/><Relationship Id="rId1" Type="http://schemas.openxmlformats.org/officeDocument/2006/relationships/hyperlink" Target="https://www.tzb-info.cz/tabulky-a-vypocty/61-produkce-tepla-a-vodni-pary-od-lidi" TargetMode="External"/><Relationship Id="rId6" Type="http://schemas.openxmlformats.org/officeDocument/2006/relationships/hyperlink" Target="http://www.vernier.cz/stahnout/kucharka/kod/spotreba-kysliku-pri-dychani" TargetMode="External"/><Relationship Id="rId5" Type="http://schemas.openxmlformats.org/officeDocument/2006/relationships/hyperlink" Target="https://www.wikiskripta.eu/w/Mechanika_d%C3%BDch%C3%A1n%C3%AD" TargetMode="External"/><Relationship Id="rId4" Type="http://schemas.openxmlformats.org/officeDocument/2006/relationships/hyperlink" Target="https://vetrani.tzb-info.cz/vnitrni-prostredi/3042-bytove-vetrani-ve-vztahu-k-produkci-co2-vlhkosti-a-skodlivin-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opLeftCell="A18" workbookViewId="0">
      <pane xSplit="1" topLeftCell="B1" activePane="topRight" state="frozen"/>
      <selection pane="topRight" activeCell="A39" sqref="A39"/>
    </sheetView>
  </sheetViews>
  <sheetFormatPr defaultRowHeight="15"/>
  <cols>
    <col min="1" max="1" width="12.7109375" customWidth="1"/>
    <col min="2" max="2" width="6" customWidth="1"/>
    <col min="3" max="3" width="6.5703125" customWidth="1"/>
    <col min="4" max="4" width="6.140625" customWidth="1"/>
    <col min="5" max="5" width="7" customWidth="1"/>
    <col min="6" max="7" width="9.42578125" customWidth="1"/>
    <col min="8" max="8" width="7" customWidth="1"/>
    <col min="9" max="9" width="9.42578125" customWidth="1"/>
    <col min="10" max="10" width="6.42578125" customWidth="1"/>
    <col min="11" max="11" width="7" customWidth="1"/>
    <col min="12" max="12" width="8.7109375" customWidth="1"/>
    <col min="13" max="13" width="8.28515625" customWidth="1"/>
    <col min="14" max="14" width="10.28515625" customWidth="1"/>
    <col min="15" max="15" width="8.140625" customWidth="1"/>
    <col min="16" max="16" width="8.28515625" customWidth="1"/>
    <col min="17" max="17" width="7.42578125" customWidth="1"/>
    <col min="18" max="18" width="6.140625" customWidth="1"/>
    <col min="19" max="19" width="7.5703125" customWidth="1"/>
    <col min="20" max="24" width="6.140625" customWidth="1"/>
    <col min="25" max="25" width="4.28515625" customWidth="1"/>
    <col min="29" max="29" width="10" bestFit="1" customWidth="1"/>
  </cols>
  <sheetData>
    <row r="1" spans="1:32">
      <c r="A1" s="4" t="s">
        <v>71</v>
      </c>
      <c r="D1" t="s">
        <v>59</v>
      </c>
      <c r="G1" s="5">
        <v>21</v>
      </c>
      <c r="H1" t="s">
        <v>36</v>
      </c>
      <c r="J1" t="s">
        <v>115</v>
      </c>
      <c r="L1">
        <f>L6-L9</f>
        <v>-1.2878886431637788</v>
      </c>
      <c r="M1">
        <f>M6-M9</f>
        <v>1.3633980073413703</v>
      </c>
      <c r="O1" t="s">
        <v>58</v>
      </c>
      <c r="T1" t="s">
        <v>57</v>
      </c>
    </row>
    <row r="2" spans="1:32">
      <c r="A2" s="4" t="s">
        <v>70</v>
      </c>
      <c r="F2" s="3"/>
      <c r="G2" t="s">
        <v>56</v>
      </c>
      <c r="L2" t="s">
        <v>55</v>
      </c>
      <c r="M2" t="s">
        <v>54</v>
      </c>
      <c r="O2" t="s">
        <v>55</v>
      </c>
      <c r="P2" t="s">
        <v>54</v>
      </c>
      <c r="Q2" t="s">
        <v>53</v>
      </c>
    </row>
    <row r="3" spans="1:32">
      <c r="A3" s="5" t="s">
        <v>65</v>
      </c>
      <c r="B3" s="5"/>
      <c r="C3" s="5"/>
      <c r="F3" t="s">
        <v>52</v>
      </c>
      <c r="G3" t="s">
        <v>51</v>
      </c>
      <c r="L3" t="s">
        <v>50</v>
      </c>
      <c r="M3" t="s">
        <v>50</v>
      </c>
      <c r="T3" s="6" t="s">
        <v>49</v>
      </c>
      <c r="U3" s="6" t="s">
        <v>30</v>
      </c>
      <c r="V3" s="6" t="s">
        <v>48</v>
      </c>
    </row>
    <row r="4" spans="1:32">
      <c r="B4" s="3" t="s">
        <v>47</v>
      </c>
      <c r="C4" s="3" t="s">
        <v>46</v>
      </c>
      <c r="D4" s="3" t="s">
        <v>45</v>
      </c>
      <c r="E4" s="3" t="s">
        <v>44</v>
      </c>
      <c r="F4" s="3" t="s">
        <v>43</v>
      </c>
      <c r="G4" s="3" t="s">
        <v>42</v>
      </c>
      <c r="H4" s="3"/>
      <c r="I4" s="3"/>
      <c r="J4" s="3"/>
      <c r="K4" s="3"/>
      <c r="L4" s="3" t="s">
        <v>41</v>
      </c>
      <c r="M4" s="3" t="s">
        <v>41</v>
      </c>
      <c r="O4" s="3"/>
      <c r="P4" s="3"/>
      <c r="Q4" s="3"/>
      <c r="T4">
        <f>T6+0.5</f>
        <v>3</v>
      </c>
      <c r="U4">
        <f>G6</f>
        <v>-15</v>
      </c>
      <c r="V4">
        <f>G6</f>
        <v>-15</v>
      </c>
    </row>
    <row r="5" spans="1:32">
      <c r="B5" s="3" t="s">
        <v>40</v>
      </c>
      <c r="C5" s="3" t="s">
        <v>40</v>
      </c>
      <c r="D5" s="3" t="s">
        <v>40</v>
      </c>
      <c r="E5" s="3" t="s">
        <v>39</v>
      </c>
      <c r="F5" s="3" t="s">
        <v>38</v>
      </c>
      <c r="G5" s="3" t="s">
        <v>36</v>
      </c>
      <c r="H5" s="3" t="s">
        <v>23</v>
      </c>
      <c r="I5" s="3" t="s">
        <v>37</v>
      </c>
      <c r="J5" s="3" t="s">
        <v>36</v>
      </c>
      <c r="K5" s="3" t="s">
        <v>23</v>
      </c>
      <c r="L5" s="3" t="s">
        <v>36</v>
      </c>
      <c r="M5" s="3" t="s">
        <v>36</v>
      </c>
      <c r="O5" s="3" t="s">
        <v>35</v>
      </c>
      <c r="P5" s="3" t="s">
        <v>35</v>
      </c>
      <c r="Q5" s="3" t="s">
        <v>35</v>
      </c>
      <c r="T5">
        <f>T6+0.25</f>
        <v>2.75</v>
      </c>
      <c r="U5">
        <f>G6</f>
        <v>-15</v>
      </c>
      <c r="V5">
        <f>G6</f>
        <v>-15</v>
      </c>
      <c r="Z5" t="s">
        <v>91</v>
      </c>
      <c r="AA5" t="s">
        <v>89</v>
      </c>
      <c r="AB5" t="s">
        <v>90</v>
      </c>
      <c r="AC5" t="s">
        <v>92</v>
      </c>
      <c r="AD5" t="s">
        <v>94</v>
      </c>
      <c r="AE5" t="s">
        <v>109</v>
      </c>
    </row>
    <row r="6" spans="1:32">
      <c r="A6" t="s">
        <v>34</v>
      </c>
      <c r="B6" s="5">
        <v>9.6</v>
      </c>
      <c r="C6" s="5">
        <v>15</v>
      </c>
      <c r="D6" s="5">
        <v>2.5</v>
      </c>
      <c r="E6">
        <f>B6*C6</f>
        <v>144</v>
      </c>
      <c r="F6" s="5">
        <f>0.04/0.4</f>
        <v>9.9999999999999992E-2</v>
      </c>
      <c r="G6" s="5">
        <v>-15</v>
      </c>
      <c r="H6">
        <f>E6*F6</f>
        <v>14.399999999999999</v>
      </c>
      <c r="I6" t="s">
        <v>34</v>
      </c>
      <c r="J6">
        <f>(G6*H6+(G7*H7+G8*H8+G10*H10)/2)/K6</f>
        <v>-15</v>
      </c>
      <c r="K6">
        <f>H6+(H7+H8+H10)/2</f>
        <v>52.8</v>
      </c>
      <c r="L6">
        <f>(J6*K6+G1*H14)/(K6+H14)</f>
        <v>20.124235722648624</v>
      </c>
      <c r="M6">
        <f>J9+(M9-J9)*(1/K9+1/J16)/(1/K9)</f>
        <v>21.92711064499213</v>
      </c>
      <c r="O6">
        <f>(L6-G6)*F6*E6</f>
        <v>505.78899440614009</v>
      </c>
      <c r="P6">
        <f>(M6-G6)*F6*E6</f>
        <v>531.7503932878866</v>
      </c>
      <c r="Q6" s="4">
        <f>($G$1-G6)*F6*E6</f>
        <v>518.4</v>
      </c>
      <c r="T6">
        <f>D6</f>
        <v>2.5</v>
      </c>
      <c r="U6" s="4">
        <f>L6</f>
        <v>20.124235722648624</v>
      </c>
      <c r="V6" s="4">
        <f>M6</f>
        <v>21.92711064499213</v>
      </c>
      <c r="Z6" s="5">
        <v>0.15</v>
      </c>
      <c r="AA6" s="5">
        <v>2000</v>
      </c>
      <c r="AB6" s="5">
        <v>1000</v>
      </c>
      <c r="AC6">
        <f>E6*Z6*AA6*AB6*AD6</f>
        <v>43199999.999999993</v>
      </c>
      <c r="AD6">
        <v>1</v>
      </c>
      <c r="AE6">
        <f>E6*Z6*AA6*AD6/1000</f>
        <v>43.199999999999996</v>
      </c>
    </row>
    <row r="7" spans="1:32">
      <c r="A7" t="s">
        <v>33</v>
      </c>
      <c r="C7" s="7">
        <f>2*(B6+C6)</f>
        <v>49.2</v>
      </c>
      <c r="D7" s="7">
        <f>D6</f>
        <v>2.5</v>
      </c>
      <c r="E7" s="5">
        <f>C7*D7-E8</f>
        <v>105</v>
      </c>
      <c r="F7" s="5">
        <f>0.04/0.2</f>
        <v>0.19999999999999998</v>
      </c>
      <c r="G7" s="5">
        <f>G6</f>
        <v>-15</v>
      </c>
      <c r="H7">
        <f>E7*F7</f>
        <v>21</v>
      </c>
      <c r="L7">
        <f>(L6+L9)/2</f>
        <v>20.768180044230512</v>
      </c>
      <c r="M7">
        <f>(M6+M9)/2</f>
        <v>21.245411641321446</v>
      </c>
      <c r="O7">
        <f>(L7-G7)*F7*E7</f>
        <v>751.13178092884073</v>
      </c>
      <c r="P7">
        <f>(M7-G7)*F7*E7</f>
        <v>761.15364446775038</v>
      </c>
      <c r="Q7" s="4">
        <f>($G$1-G7)*F7*E7</f>
        <v>755.99999999999989</v>
      </c>
      <c r="T7">
        <f>T6/2</f>
        <v>1.25</v>
      </c>
      <c r="U7">
        <f>(U6+U9)/2</f>
        <v>20.768180044230512</v>
      </c>
      <c r="V7">
        <f>(V6+V9)/2</f>
        <v>21.245411641321446</v>
      </c>
      <c r="Z7" s="5">
        <v>0.3</v>
      </c>
      <c r="AA7" s="5">
        <v>800</v>
      </c>
      <c r="AB7" s="5">
        <v>1000</v>
      </c>
      <c r="AC7">
        <f t="shared" ref="AC7:AC9" si="0">E7*Z7*AA7*AB7*AD7</f>
        <v>37800000</v>
      </c>
      <c r="AD7">
        <v>1.5</v>
      </c>
      <c r="AE7">
        <f t="shared" ref="AE7:AE9" si="1">E7*Z7*AA7*AD7/1000</f>
        <v>37.799999999999997</v>
      </c>
    </row>
    <row r="8" spans="1:32">
      <c r="A8" t="s">
        <v>32</v>
      </c>
      <c r="B8">
        <v>1.5</v>
      </c>
      <c r="C8">
        <v>1.2</v>
      </c>
      <c r="D8">
        <v>10</v>
      </c>
      <c r="E8" s="5">
        <f>B8*C8*D8</f>
        <v>18</v>
      </c>
      <c r="F8" s="5">
        <v>1.1000000000000001</v>
      </c>
      <c r="G8" s="5">
        <f>G7</f>
        <v>-15</v>
      </c>
      <c r="H8">
        <f>E8*F8</f>
        <v>19.8</v>
      </c>
      <c r="L8">
        <f>L7</f>
        <v>20.768180044230512</v>
      </c>
      <c r="M8">
        <f>M7</f>
        <v>21.245411641321446</v>
      </c>
      <c r="O8">
        <f>(L8-G8)*F8*E8</f>
        <v>708.20996487576417</v>
      </c>
      <c r="P8">
        <f>(M8-G8)*F8*E8</f>
        <v>717.65915049816465</v>
      </c>
      <c r="Q8" s="4">
        <f>($G$1-G8)*F8*E8</f>
        <v>712.80000000000007</v>
      </c>
      <c r="T8">
        <v>0.8</v>
      </c>
      <c r="U8">
        <f>U6*0.8/D6+U9*(D6-0.8)/D6</f>
        <v>20.999999999999993</v>
      </c>
      <c r="V8">
        <f>V6*0.8/D6+V9*(D6-0.8)/D6</f>
        <v>20.999999999999996</v>
      </c>
    </row>
    <row r="9" spans="1:32">
      <c r="A9" t="s">
        <v>31</v>
      </c>
      <c r="E9">
        <f>E6</f>
        <v>144</v>
      </c>
      <c r="F9" s="5">
        <f>0.04/0.15</f>
        <v>0.26666666666666666</v>
      </c>
      <c r="G9" s="5">
        <v>5</v>
      </c>
      <c r="H9">
        <f>E9*F9</f>
        <v>38.4</v>
      </c>
      <c r="I9" t="s">
        <v>30</v>
      </c>
      <c r="J9">
        <f>(G9*H9+(G7*H7+G8*H8+G10*H10)/2)/K9</f>
        <v>-5</v>
      </c>
      <c r="K9">
        <f>H9+(H7+H8+H10)/2</f>
        <v>76.8</v>
      </c>
      <c r="L9">
        <f>J6+(L6-J6)*(1/K6+1/H16)/(1/K6)</f>
        <v>21.412124365812403</v>
      </c>
      <c r="M9">
        <f>(J9*K9+G1*J15)/(K9+J15)</f>
        <v>20.56371263765076</v>
      </c>
      <c r="O9">
        <f>(L9-G9)*F9*E9</f>
        <v>630.22557564719625</v>
      </c>
      <c r="P9">
        <f>(M9-G9)*F9*E9</f>
        <v>597.64656528578917</v>
      </c>
      <c r="Q9" s="4">
        <f>($G$1-G9)*F9*E9</f>
        <v>614.4</v>
      </c>
      <c r="T9">
        <v>0</v>
      </c>
      <c r="U9" s="4">
        <f>L9</f>
        <v>21.412124365812403</v>
      </c>
      <c r="V9" s="4">
        <f>M9</f>
        <v>20.56371263765076</v>
      </c>
      <c r="W9">
        <f>U6-U9</f>
        <v>-1.2878886431637788</v>
      </c>
      <c r="X9">
        <f>V6-V9</f>
        <v>1.3633980073413703</v>
      </c>
      <c r="Z9" s="5">
        <v>0.05</v>
      </c>
      <c r="AA9" s="5">
        <v>2000</v>
      </c>
      <c r="AB9" s="5">
        <v>1000</v>
      </c>
      <c r="AC9">
        <f t="shared" si="0"/>
        <v>14400000</v>
      </c>
      <c r="AD9">
        <v>1</v>
      </c>
      <c r="AE9">
        <f t="shared" si="1"/>
        <v>14.4</v>
      </c>
    </row>
    <row r="10" spans="1:32">
      <c r="A10" t="s">
        <v>29</v>
      </c>
      <c r="B10" s="5">
        <v>0.3</v>
      </c>
      <c r="E10">
        <f>B6*C6*D6</f>
        <v>360</v>
      </c>
      <c r="F10">
        <f>B10*1.2*1000/3600</f>
        <v>0.1</v>
      </c>
      <c r="G10" s="5">
        <f>G8</f>
        <v>-15</v>
      </c>
      <c r="H10">
        <f>E10*F10</f>
        <v>36</v>
      </c>
      <c r="L10">
        <f>L7</f>
        <v>20.768180044230512</v>
      </c>
      <c r="M10">
        <f>M7</f>
        <v>21.245411641321446</v>
      </c>
      <c r="O10">
        <f>(L10-G10)*F10*E10</f>
        <v>1287.6544815922985</v>
      </c>
      <c r="P10">
        <f>(M10-G10)*F10*E10</f>
        <v>1304.8348190875722</v>
      </c>
      <c r="Q10" s="4">
        <f>($G$1-G10)*F10*E10</f>
        <v>1296</v>
      </c>
      <c r="T10">
        <v>-0.25</v>
      </c>
      <c r="U10">
        <f>G9</f>
        <v>5</v>
      </c>
      <c r="V10">
        <f>G9</f>
        <v>5</v>
      </c>
      <c r="AC10">
        <f>SUM(AC6:AC9)</f>
        <v>95400000</v>
      </c>
      <c r="AE10" s="4">
        <f>SUM(AE6:AE9)</f>
        <v>95.4</v>
      </c>
      <c r="AF10" t="s">
        <v>110</v>
      </c>
    </row>
    <row r="11" spans="1:32">
      <c r="A11" t="s">
        <v>28</v>
      </c>
      <c r="H11" s="4"/>
      <c r="I11" s="4"/>
      <c r="T11">
        <v>-0.5</v>
      </c>
      <c r="U11">
        <f>G9</f>
        <v>5</v>
      </c>
      <c r="V11">
        <f>G9</f>
        <v>5</v>
      </c>
      <c r="AC11">
        <f>SUM(H6:H10)</f>
        <v>129.6</v>
      </c>
      <c r="AD11" t="s">
        <v>23</v>
      </c>
    </row>
    <row r="12" spans="1:32">
      <c r="B12">
        <f>SUM(E6:E9)/E10</f>
        <v>1.1416666666666666</v>
      </c>
      <c r="C12" t="s">
        <v>123</v>
      </c>
      <c r="G12" t="s">
        <v>27</v>
      </c>
      <c r="I12" t="s">
        <v>26</v>
      </c>
      <c r="N12" s="4" t="s">
        <v>25</v>
      </c>
      <c r="O12" s="4">
        <f>SUM(O6:O11)</f>
        <v>3883.0107974502398</v>
      </c>
      <c r="P12" s="4">
        <f>SUM(P6:P11)</f>
        <v>3913.0445726271632</v>
      </c>
      <c r="Q12" s="4">
        <f>SUM(Q6:Q11)</f>
        <v>3897.6</v>
      </c>
      <c r="T12" s="4">
        <f>AC12</f>
        <v>8.5198045267489722</v>
      </c>
      <c r="U12" s="8" t="s">
        <v>108</v>
      </c>
      <c r="AC12" s="4">
        <f>AC10/AC11/3600/24</f>
        <v>8.5198045267489722</v>
      </c>
      <c r="AD12" t="s">
        <v>93</v>
      </c>
    </row>
    <row r="13" spans="1:32">
      <c r="C13" t="s">
        <v>24</v>
      </c>
      <c r="G13" s="5">
        <v>10</v>
      </c>
      <c r="H13" t="s">
        <v>23</v>
      </c>
      <c r="I13" s="5">
        <v>10</v>
      </c>
      <c r="J13" t="s">
        <v>23</v>
      </c>
      <c r="N13" s="4" t="s">
        <v>22</v>
      </c>
      <c r="O13" s="4"/>
      <c r="P13" s="4">
        <f>P12/O12</f>
        <v>1.0077346617724177</v>
      </c>
      <c r="T13" s="4">
        <f>AE10</f>
        <v>95.4</v>
      </c>
      <c r="U13" t="s">
        <v>111</v>
      </c>
    </row>
    <row r="14" spans="1:32">
      <c r="A14">
        <f>Q12/1000</f>
        <v>3.8975999999999997</v>
      </c>
      <c r="B14" t="s">
        <v>61</v>
      </c>
      <c r="F14" t="s">
        <v>19</v>
      </c>
      <c r="G14">
        <f>1/G13*(D6-0.8)/D6</f>
        <v>6.8000000000000005E-2</v>
      </c>
      <c r="H14">
        <f>E6/G14</f>
        <v>2117.6470588235293</v>
      </c>
      <c r="I14">
        <f>1/I13*(D6-0.8)/D6</f>
        <v>6.8000000000000005E-2</v>
      </c>
      <c r="J14">
        <f>E6/I14</f>
        <v>2117.6470588235293</v>
      </c>
      <c r="T14" s="4" t="s">
        <v>21</v>
      </c>
      <c r="Z14" t="s">
        <v>95</v>
      </c>
    </row>
    <row r="15" spans="1:32">
      <c r="A15">
        <f>A14*24*110/1000</f>
        <v>10.289663999999998</v>
      </c>
      <c r="B15" t="s">
        <v>20</v>
      </c>
      <c r="F15" t="s">
        <v>18</v>
      </c>
      <c r="G15">
        <f>1/G13*0.8/D6</f>
        <v>3.2000000000000008E-2</v>
      </c>
      <c r="H15">
        <f>E6/G15</f>
        <v>4499.9999999999991</v>
      </c>
      <c r="I15">
        <f>1/I13*0.8/D6</f>
        <v>3.2000000000000008E-2</v>
      </c>
      <c r="J15">
        <f>E6/I15</f>
        <v>4499.9999999999991</v>
      </c>
      <c r="Z15" t="s">
        <v>96</v>
      </c>
    </row>
    <row r="16" spans="1:32">
      <c r="A16">
        <f>A15*1000/E9</f>
        <v>71.455999999999989</v>
      </c>
      <c r="B16" t="s">
        <v>121</v>
      </c>
      <c r="G16">
        <f>1/G13</f>
        <v>0.1</v>
      </c>
      <c r="H16">
        <f>E6/G16</f>
        <v>1440</v>
      </c>
      <c r="I16">
        <f>1/I13</f>
        <v>0.1</v>
      </c>
      <c r="J16">
        <f>E6/I16</f>
        <v>1440</v>
      </c>
    </row>
    <row r="17" spans="1:30">
      <c r="A17">
        <f>A15*1000/E10</f>
        <v>28.582399999999996</v>
      </c>
      <c r="B17" t="s">
        <v>122</v>
      </c>
      <c r="AA17" t="s">
        <v>98</v>
      </c>
    </row>
    <row r="18" spans="1:30">
      <c r="A18" t="s">
        <v>62</v>
      </c>
      <c r="H18" s="4" t="s">
        <v>60</v>
      </c>
      <c r="AA18">
        <v>2000</v>
      </c>
      <c r="AB18" t="s">
        <v>97</v>
      </c>
    </row>
    <row r="19" spans="1:30">
      <c r="A19" t="s">
        <v>17</v>
      </c>
      <c r="B19">
        <f>50*50*4.2/3600/24</f>
        <v>0.12152777777777778</v>
      </c>
      <c r="C19" t="s">
        <v>63</v>
      </c>
    </row>
    <row r="20" spans="1:30">
      <c r="A20" t="s">
        <v>16</v>
      </c>
      <c r="B20" s="5">
        <v>5</v>
      </c>
      <c r="AA20">
        <v>650</v>
      </c>
      <c r="AB20" t="s">
        <v>100</v>
      </c>
    </row>
    <row r="21" spans="1:30">
      <c r="A21" t="s">
        <v>15</v>
      </c>
      <c r="B21">
        <f>B19*B20</f>
        <v>0.60763888888888884</v>
      </c>
      <c r="C21" t="s">
        <v>64</v>
      </c>
      <c r="AA21">
        <v>800</v>
      </c>
      <c r="AB21" t="s">
        <v>99</v>
      </c>
    </row>
    <row r="22" spans="1:30">
      <c r="AA22">
        <v>400</v>
      </c>
      <c r="AB22" t="s">
        <v>101</v>
      </c>
    </row>
    <row r="23" spans="1:30">
      <c r="A23" t="s">
        <v>66</v>
      </c>
      <c r="AA23">
        <v>800</v>
      </c>
      <c r="AB23" t="s">
        <v>102</v>
      </c>
    </row>
    <row r="24" spans="1:30">
      <c r="A24" t="s">
        <v>67</v>
      </c>
      <c r="B24" t="s">
        <v>68</v>
      </c>
      <c r="C24" t="s">
        <v>23</v>
      </c>
      <c r="AA24">
        <v>500</v>
      </c>
      <c r="AB24" t="s">
        <v>103</v>
      </c>
      <c r="AC24">
        <v>0.18</v>
      </c>
      <c r="AD24" t="s">
        <v>107</v>
      </c>
    </row>
    <row r="25" spans="1:30">
      <c r="A25" s="5">
        <v>36</v>
      </c>
      <c r="B25" s="5">
        <v>1</v>
      </c>
      <c r="C25">
        <f>A25*B25</f>
        <v>36</v>
      </c>
      <c r="AA25">
        <v>1700</v>
      </c>
      <c r="AB25" t="s">
        <v>104</v>
      </c>
      <c r="AC25">
        <v>0.8</v>
      </c>
      <c r="AD25" t="s">
        <v>107</v>
      </c>
    </row>
    <row r="26" spans="1:30">
      <c r="A26" s="5">
        <v>12</v>
      </c>
      <c r="B26" s="5">
        <v>0.5</v>
      </c>
      <c r="C26">
        <f t="shared" ref="C26:C29" si="2">A26*B26</f>
        <v>6</v>
      </c>
      <c r="AA26">
        <v>2200</v>
      </c>
      <c r="AB26" t="s">
        <v>105</v>
      </c>
      <c r="AC26">
        <v>1</v>
      </c>
      <c r="AD26" t="s">
        <v>107</v>
      </c>
    </row>
    <row r="27" spans="1:30">
      <c r="A27" s="5"/>
      <c r="B27" s="5"/>
      <c r="C27">
        <f t="shared" si="2"/>
        <v>0</v>
      </c>
    </row>
    <row r="28" spans="1:30">
      <c r="A28" s="5"/>
      <c r="B28" s="5"/>
      <c r="C28">
        <f t="shared" si="2"/>
        <v>0</v>
      </c>
      <c r="AB28" t="s">
        <v>106</v>
      </c>
    </row>
    <row r="29" spans="1:30">
      <c r="A29" s="5"/>
      <c r="B29" s="5"/>
      <c r="C29">
        <f t="shared" si="2"/>
        <v>0</v>
      </c>
      <c r="D29">
        <f>SUM(C25:C29)</f>
        <v>42</v>
      </c>
    </row>
    <row r="30" spans="1:30">
      <c r="A30" t="s">
        <v>69</v>
      </c>
      <c r="I30">
        <f>2*B6*C6+2*(B6+C6)*D6</f>
        <v>411</v>
      </c>
      <c r="J30" t="s">
        <v>112</v>
      </c>
    </row>
    <row r="31" spans="1:30">
      <c r="A31" s="4">
        <f>SUM(A25:A29)</f>
        <v>48</v>
      </c>
      <c r="B31" s="4">
        <f>D29/A31</f>
        <v>0.875</v>
      </c>
      <c r="I31">
        <v>3</v>
      </c>
      <c r="J31" t="s">
        <v>38</v>
      </c>
    </row>
    <row r="32" spans="1:30">
      <c r="A32" s="4"/>
      <c r="B32" s="4"/>
      <c r="I32">
        <f>Q12/I30/I31</f>
        <v>3.1610705596107054</v>
      </c>
      <c r="J32" t="s">
        <v>113</v>
      </c>
      <c r="N32" t="s">
        <v>114</v>
      </c>
    </row>
    <row r="33" spans="1:10">
      <c r="A33" s="4"/>
      <c r="B33" s="4"/>
      <c r="I33">
        <f>-I32/2*(E6*F6+E7*F7+E8*F8+E9*F9)</f>
        <v>-147.93810218978101</v>
      </c>
      <c r="J33" t="s">
        <v>116</v>
      </c>
    </row>
    <row r="34" spans="1:10">
      <c r="A34" s="4"/>
      <c r="B34" s="4"/>
      <c r="I34">
        <f>I32/2*E10*F10</f>
        <v>56.899270072992692</v>
      </c>
      <c r="J34" t="s">
        <v>117</v>
      </c>
    </row>
    <row r="35" spans="1:10">
      <c r="A35" s="4"/>
      <c r="B35" s="4"/>
      <c r="I35">
        <f>I34+I33</f>
        <v>-91.038832116788313</v>
      </c>
      <c r="J35" t="s">
        <v>118</v>
      </c>
    </row>
    <row r="36" spans="1:10">
      <c r="A36" s="4"/>
      <c r="B36" s="4"/>
      <c r="I36">
        <f>P12-O12</f>
        <v>30.033775176923427</v>
      </c>
      <c r="J36" t="s">
        <v>119</v>
      </c>
    </row>
    <row r="37" spans="1:10">
      <c r="A37" s="4"/>
      <c r="B37" s="4"/>
      <c r="I37">
        <f>I36+I35</f>
        <v>-61.005056939864886</v>
      </c>
      <c r="J37" t="s">
        <v>120</v>
      </c>
    </row>
    <row r="38" spans="1:10">
      <c r="A38" s="4"/>
      <c r="B38" s="4"/>
    </row>
    <row r="39" spans="1:10">
      <c r="A39" s="4" t="s">
        <v>264</v>
      </c>
      <c r="B39" s="4"/>
      <c r="E39" s="2" t="s">
        <v>265</v>
      </c>
    </row>
    <row r="40" spans="1:10">
      <c r="A40" s="4" t="s">
        <v>14</v>
      </c>
    </row>
    <row r="41" spans="1:10">
      <c r="A41" s="1" t="s">
        <v>13</v>
      </c>
    </row>
    <row r="42" spans="1:10">
      <c r="A42" s="1" t="s">
        <v>12</v>
      </c>
    </row>
    <row r="43" spans="1:10">
      <c r="A43" s="1" t="s">
        <v>11</v>
      </c>
    </row>
    <row r="44" spans="1:10">
      <c r="A44" s="1" t="s">
        <v>10</v>
      </c>
    </row>
    <row r="45" spans="1:10">
      <c r="A45" s="1" t="s">
        <v>9</v>
      </c>
      <c r="B45" s="3"/>
      <c r="C45" s="3"/>
      <c r="D45" s="3"/>
      <c r="E45" s="3"/>
      <c r="F45" s="3"/>
      <c r="G45" s="3"/>
      <c r="H45" s="3"/>
    </row>
    <row r="46" spans="1:10">
      <c r="A46" s="1" t="s">
        <v>8</v>
      </c>
    </row>
    <row r="47" spans="1:10">
      <c r="A47" s="1" t="s">
        <v>7</v>
      </c>
    </row>
    <row r="48" spans="1:10">
      <c r="A48" s="1" t="s">
        <v>6</v>
      </c>
    </row>
    <row r="49" spans="1:13">
      <c r="A49" s="1" t="s">
        <v>5</v>
      </c>
    </row>
    <row r="50" spans="1:13">
      <c r="A50" s="2" t="s">
        <v>4</v>
      </c>
      <c r="D50" t="s">
        <v>3</v>
      </c>
    </row>
    <row r="51" spans="1:13">
      <c r="A51" s="1" t="s">
        <v>2</v>
      </c>
    </row>
    <row r="52" spans="1:13">
      <c r="B52" t="s">
        <v>1</v>
      </c>
      <c r="M52" t="s">
        <v>0</v>
      </c>
    </row>
  </sheetData>
  <hyperlinks>
    <hyperlink ref="A50" r:id="rId1" location="12"/>
    <hyperlink ref="E39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tabSelected="1" topLeftCell="A16" workbookViewId="0">
      <selection activeCell="E39" sqref="E39"/>
    </sheetView>
  </sheetViews>
  <sheetFormatPr defaultRowHeight="15"/>
  <cols>
    <col min="17" max="17" width="8.28515625" customWidth="1"/>
    <col min="18" max="18" width="22" customWidth="1"/>
  </cols>
  <sheetData>
    <row r="1" spans="1:35">
      <c r="A1" t="s">
        <v>79</v>
      </c>
      <c r="C1" s="5">
        <v>5000</v>
      </c>
      <c r="D1" s="5">
        <v>20000</v>
      </c>
      <c r="E1" s="5">
        <v>30000</v>
      </c>
      <c r="F1" s="5">
        <v>80000</v>
      </c>
      <c r="G1" s="5">
        <v>250000</v>
      </c>
      <c r="H1" s="5">
        <v>15000</v>
      </c>
      <c r="I1" s="5">
        <v>20000</v>
      </c>
      <c r="J1" s="5">
        <v>50000</v>
      </c>
      <c r="K1" t="s">
        <v>267</v>
      </c>
    </row>
    <row r="2" spans="1:35">
      <c r="A2" t="s">
        <v>78</v>
      </c>
      <c r="C2" s="5">
        <v>15</v>
      </c>
      <c r="D2" s="5">
        <v>15</v>
      </c>
      <c r="E2" s="5">
        <f>C2</f>
        <v>15</v>
      </c>
      <c r="F2" s="5">
        <f>E2</f>
        <v>15</v>
      </c>
      <c r="G2" s="5">
        <v>15</v>
      </c>
      <c r="H2" s="5">
        <v>10</v>
      </c>
      <c r="I2" s="5">
        <v>10</v>
      </c>
      <c r="J2" s="5">
        <v>15</v>
      </c>
      <c r="K2" t="s">
        <v>127</v>
      </c>
      <c r="P2" t="s">
        <v>73</v>
      </c>
      <c r="Q2" s="2" t="s">
        <v>173</v>
      </c>
    </row>
    <row r="3" spans="1:35">
      <c r="A3" t="s">
        <v>88</v>
      </c>
      <c r="C3">
        <f t="shared" ref="C3:J3" si="0">C1/C2</f>
        <v>333.33333333333331</v>
      </c>
      <c r="D3">
        <f t="shared" si="0"/>
        <v>1333.3333333333333</v>
      </c>
      <c r="E3">
        <f t="shared" si="0"/>
        <v>2000</v>
      </c>
      <c r="F3">
        <f t="shared" si="0"/>
        <v>5333.333333333333</v>
      </c>
      <c r="G3">
        <f t="shared" si="0"/>
        <v>16666.666666666668</v>
      </c>
      <c r="H3">
        <f t="shared" si="0"/>
        <v>1500</v>
      </c>
      <c r="I3">
        <f t="shared" si="0"/>
        <v>2000</v>
      </c>
      <c r="J3">
        <f t="shared" si="0"/>
        <v>3333.3333333333335</v>
      </c>
      <c r="K3" t="s">
        <v>82</v>
      </c>
      <c r="R3" s="2" t="s">
        <v>174</v>
      </c>
      <c r="U3" t="s">
        <v>141</v>
      </c>
    </row>
    <row r="4" spans="1:35">
      <c r="A4" t="s">
        <v>83</v>
      </c>
      <c r="C4" s="5">
        <v>0</v>
      </c>
      <c r="D4" s="5">
        <v>0</v>
      </c>
      <c r="E4" s="5">
        <v>3000</v>
      </c>
      <c r="F4" s="5"/>
      <c r="G4" s="5"/>
      <c r="H4" s="5">
        <v>3000</v>
      </c>
      <c r="I4" s="5"/>
      <c r="J4" s="5"/>
      <c r="K4" t="s">
        <v>86</v>
      </c>
      <c r="R4" t="s">
        <v>128</v>
      </c>
      <c r="S4" t="s">
        <v>129</v>
      </c>
      <c r="T4" t="s">
        <v>77</v>
      </c>
    </row>
    <row r="5" spans="1:35">
      <c r="A5" t="s">
        <v>77</v>
      </c>
      <c r="C5" s="5">
        <v>2.1</v>
      </c>
      <c r="D5" s="5">
        <v>1.7</v>
      </c>
      <c r="E5" s="5">
        <v>1.3</v>
      </c>
      <c r="F5" s="5">
        <v>2.1</v>
      </c>
      <c r="G5" s="5">
        <v>2.1</v>
      </c>
      <c r="H5" s="5">
        <v>1.3</v>
      </c>
      <c r="I5" s="5">
        <v>2.1</v>
      </c>
      <c r="J5" s="5">
        <v>0.81</v>
      </c>
      <c r="K5" t="s">
        <v>268</v>
      </c>
      <c r="R5">
        <v>17.600000000000001</v>
      </c>
      <c r="S5">
        <v>395</v>
      </c>
      <c r="T5">
        <f>S5/100/R5*3.6</f>
        <v>0.80795454545454548</v>
      </c>
      <c r="U5" t="s">
        <v>130</v>
      </c>
    </row>
    <row r="6" spans="1:35">
      <c r="A6" t="s">
        <v>84</v>
      </c>
      <c r="C6" s="5">
        <v>1</v>
      </c>
      <c r="D6" s="5">
        <v>1</v>
      </c>
      <c r="E6" s="5">
        <v>0.95</v>
      </c>
      <c r="F6" s="5">
        <v>3</v>
      </c>
      <c r="G6" s="5">
        <v>3.2</v>
      </c>
      <c r="H6" s="5">
        <v>0.75</v>
      </c>
      <c r="I6" s="5">
        <v>2</v>
      </c>
      <c r="J6" s="5">
        <v>0.7</v>
      </c>
      <c r="K6" t="s">
        <v>85</v>
      </c>
      <c r="R6">
        <v>17.600000000000001</v>
      </c>
      <c r="S6">
        <v>420</v>
      </c>
      <c r="T6">
        <f>S6/100/R6*3.6</f>
        <v>0.85909090909090902</v>
      </c>
      <c r="U6" t="s">
        <v>131</v>
      </c>
      <c r="AD6" t="s">
        <v>170</v>
      </c>
    </row>
    <row r="7" spans="1:35" ht="18" customHeight="1" thickBot="1">
      <c r="A7" t="s">
        <v>76</v>
      </c>
      <c r="B7" t="s">
        <v>75</v>
      </c>
      <c r="C7" t="s">
        <v>74</v>
      </c>
      <c r="D7" t="s">
        <v>124</v>
      </c>
      <c r="E7" t="s">
        <v>72</v>
      </c>
      <c r="F7" t="s">
        <v>73</v>
      </c>
      <c r="G7" t="s">
        <v>125</v>
      </c>
      <c r="H7" t="s">
        <v>87</v>
      </c>
      <c r="I7" t="s">
        <v>80</v>
      </c>
      <c r="J7" t="s">
        <v>126</v>
      </c>
      <c r="K7" s="23" t="s">
        <v>266</v>
      </c>
      <c r="L7" s="5"/>
      <c r="M7" s="5"/>
      <c r="N7" s="5"/>
      <c r="O7" s="5"/>
      <c r="R7" t="s">
        <v>132</v>
      </c>
      <c r="S7" s="3" t="s">
        <v>128</v>
      </c>
      <c r="T7" s="3" t="s">
        <v>129</v>
      </c>
      <c r="U7" s="3" t="s">
        <v>77</v>
      </c>
      <c r="V7" s="11">
        <v>0.8</v>
      </c>
      <c r="W7" s="1" t="s">
        <v>143</v>
      </c>
      <c r="AD7" s="14" t="s">
        <v>103</v>
      </c>
      <c r="AE7" s="15" t="s">
        <v>156</v>
      </c>
      <c r="AF7" s="15" t="s">
        <v>157</v>
      </c>
      <c r="AG7" t="s">
        <v>171</v>
      </c>
      <c r="AH7" t="s">
        <v>77</v>
      </c>
      <c r="AI7" s="16">
        <v>0.8</v>
      </c>
    </row>
    <row r="8" spans="1:35">
      <c r="A8">
        <v>0</v>
      </c>
      <c r="B8">
        <f t="shared" ref="B8:B23" si="1">A8*24*110</f>
        <v>0</v>
      </c>
      <c r="C8">
        <f>$B8*C$5/C$6+C$3+C$4</f>
        <v>333.33333333333331</v>
      </c>
      <c r="D8">
        <f>$B8*D$5/D$6+D$3+D$4</f>
        <v>1333.3333333333333</v>
      </c>
      <c r="E8">
        <f t="shared" ref="E8:J24" si="2">$B8*E$5/E$6+E$3+E$4</f>
        <v>5000</v>
      </c>
      <c r="F8">
        <f t="shared" si="2"/>
        <v>5333.333333333333</v>
      </c>
      <c r="G8">
        <f t="shared" si="2"/>
        <v>16666.666666666668</v>
      </c>
      <c r="H8">
        <f t="shared" si="2"/>
        <v>4500</v>
      </c>
      <c r="I8">
        <f t="shared" si="2"/>
        <v>2000</v>
      </c>
      <c r="J8">
        <f t="shared" si="2"/>
        <v>3333.3333333333335</v>
      </c>
      <c r="K8" s="4" t="s">
        <v>81</v>
      </c>
      <c r="R8" t="s">
        <v>133</v>
      </c>
      <c r="S8">
        <v>17.600000000000001</v>
      </c>
      <c r="T8">
        <v>325</v>
      </c>
      <c r="U8" s="9">
        <f>T8/100/S8*3.6</f>
        <v>0.66477272727272718</v>
      </c>
      <c r="V8" s="9">
        <f>U8/V$7</f>
        <v>0.83096590909090895</v>
      </c>
      <c r="W8">
        <f>S8/S$16</f>
        <v>0.60047765267826692</v>
      </c>
      <c r="AD8" s="12" t="s">
        <v>158</v>
      </c>
      <c r="AE8" s="13">
        <v>1900</v>
      </c>
      <c r="AF8" s="13">
        <v>4.0999999999999996</v>
      </c>
      <c r="AG8">
        <v>1130</v>
      </c>
      <c r="AH8">
        <f>AG8/AE8</f>
        <v>0.59473684210526312</v>
      </c>
      <c r="AI8">
        <f>AH8/AI$7</f>
        <v>0.74342105263157887</v>
      </c>
    </row>
    <row r="9" spans="1:35">
      <c r="A9">
        <v>1</v>
      </c>
      <c r="B9">
        <f t="shared" si="1"/>
        <v>2640</v>
      </c>
      <c r="C9">
        <f t="shared" ref="C9:D24" si="3">$B9*C$5/C$6+C$3+C$4</f>
        <v>5877.333333333333</v>
      </c>
      <c r="D9">
        <f t="shared" si="3"/>
        <v>5821.333333333333</v>
      </c>
      <c r="E9">
        <f t="shared" si="2"/>
        <v>8612.6315789473683</v>
      </c>
      <c r="F9">
        <f t="shared" si="2"/>
        <v>7181.333333333333</v>
      </c>
      <c r="G9">
        <f t="shared" si="2"/>
        <v>18399.166666666668</v>
      </c>
      <c r="H9">
        <f t="shared" si="2"/>
        <v>9076</v>
      </c>
      <c r="I9">
        <f t="shared" si="2"/>
        <v>4772</v>
      </c>
      <c r="J9">
        <f t="shared" si="2"/>
        <v>6388.1904761904771</v>
      </c>
      <c r="R9" s="4" t="s">
        <v>134</v>
      </c>
      <c r="S9">
        <v>20</v>
      </c>
      <c r="T9">
        <v>299</v>
      </c>
      <c r="U9" s="10">
        <f t="shared" ref="U9:U15" si="4">T9/100/S9*3.6</f>
        <v>0.53820000000000012</v>
      </c>
      <c r="V9" s="10">
        <f t="shared" ref="V9:V15" si="5">U9/V$7</f>
        <v>0.67275000000000007</v>
      </c>
      <c r="W9">
        <f t="shared" ref="W9:W15" si="6">S9/S$16</f>
        <v>0.68236096895257592</v>
      </c>
      <c r="AD9" s="12" t="s">
        <v>159</v>
      </c>
      <c r="AE9" s="13">
        <v>1900</v>
      </c>
      <c r="AF9" s="13">
        <v>4.3</v>
      </c>
      <c r="AG9">
        <v>1130</v>
      </c>
      <c r="AH9">
        <f t="shared" ref="AH9:AH17" si="7">AG9/AE9</f>
        <v>0.59473684210526312</v>
      </c>
      <c r="AI9">
        <f t="shared" ref="AI9:AI17" si="8">AH9/AI$7</f>
        <v>0.74342105263157887</v>
      </c>
    </row>
    <row r="10" spans="1:35">
      <c r="A10">
        <v>2</v>
      </c>
      <c r="B10">
        <f t="shared" si="1"/>
        <v>5280</v>
      </c>
      <c r="C10">
        <f t="shared" si="3"/>
        <v>11421.333333333334</v>
      </c>
      <c r="D10">
        <f t="shared" si="3"/>
        <v>10309.333333333334</v>
      </c>
      <c r="E10">
        <f t="shared" si="2"/>
        <v>12225.263157894737</v>
      </c>
      <c r="F10">
        <f t="shared" si="2"/>
        <v>9029.3333333333321</v>
      </c>
      <c r="G10">
        <f t="shared" si="2"/>
        <v>20131.666666666668</v>
      </c>
      <c r="H10">
        <f t="shared" si="2"/>
        <v>13652</v>
      </c>
      <c r="I10">
        <f t="shared" si="2"/>
        <v>7544</v>
      </c>
      <c r="J10">
        <f t="shared" si="2"/>
        <v>9443.0476190476202</v>
      </c>
      <c r="R10" t="s">
        <v>135</v>
      </c>
      <c r="S10">
        <v>30.9</v>
      </c>
      <c r="T10">
        <v>605</v>
      </c>
      <c r="U10" s="9">
        <f t="shared" si="4"/>
        <v>0.7048543689320389</v>
      </c>
      <c r="V10" s="9">
        <f t="shared" si="5"/>
        <v>0.8810679611650486</v>
      </c>
      <c r="W10">
        <f t="shared" si="6"/>
        <v>1.0542476970317298</v>
      </c>
      <c r="AD10" s="12" t="s">
        <v>160</v>
      </c>
      <c r="AE10" s="13">
        <v>2100</v>
      </c>
      <c r="AF10" s="13">
        <v>4.2</v>
      </c>
      <c r="AG10">
        <v>1230</v>
      </c>
      <c r="AH10">
        <f t="shared" si="7"/>
        <v>0.58571428571428574</v>
      </c>
      <c r="AI10">
        <f t="shared" si="8"/>
        <v>0.7321428571428571</v>
      </c>
    </row>
    <row r="11" spans="1:35">
      <c r="A11">
        <v>3</v>
      </c>
      <c r="B11">
        <f t="shared" si="1"/>
        <v>7920</v>
      </c>
      <c r="C11">
        <f t="shared" si="3"/>
        <v>16965.333333333332</v>
      </c>
      <c r="D11">
        <f t="shared" si="3"/>
        <v>14797.333333333334</v>
      </c>
      <c r="E11">
        <f t="shared" si="2"/>
        <v>15837.894736842105</v>
      </c>
      <c r="F11">
        <f t="shared" si="2"/>
        <v>10877.333333333332</v>
      </c>
      <c r="G11">
        <f t="shared" si="2"/>
        <v>21864.166666666668</v>
      </c>
      <c r="H11">
        <f t="shared" si="2"/>
        <v>18228</v>
      </c>
      <c r="I11">
        <f t="shared" si="2"/>
        <v>10316</v>
      </c>
      <c r="J11">
        <f t="shared" si="2"/>
        <v>12497.904761904763</v>
      </c>
      <c r="R11" t="s">
        <v>136</v>
      </c>
      <c r="S11">
        <v>29</v>
      </c>
      <c r="T11">
        <v>541</v>
      </c>
      <c r="U11" s="9">
        <f t="shared" si="4"/>
        <v>0.67158620689655169</v>
      </c>
      <c r="V11" s="9">
        <f t="shared" si="5"/>
        <v>0.83948275862068955</v>
      </c>
      <c r="W11">
        <f t="shared" si="6"/>
        <v>0.98942340498123516</v>
      </c>
      <c r="AD11" s="12" t="s">
        <v>161</v>
      </c>
      <c r="AE11" s="13">
        <v>1500</v>
      </c>
      <c r="AF11" s="13">
        <v>4.0999999999999996</v>
      </c>
    </row>
    <row r="12" spans="1:35">
      <c r="A12">
        <v>4</v>
      </c>
      <c r="B12">
        <f t="shared" si="1"/>
        <v>10560</v>
      </c>
      <c r="C12">
        <f t="shared" si="3"/>
        <v>22509.333333333332</v>
      </c>
      <c r="D12">
        <f t="shared" si="3"/>
        <v>19285.333333333332</v>
      </c>
      <c r="E12">
        <f t="shared" si="2"/>
        <v>19450.526315789473</v>
      </c>
      <c r="F12">
        <f t="shared" si="2"/>
        <v>12725.333333333332</v>
      </c>
      <c r="G12">
        <f t="shared" si="2"/>
        <v>23596.666666666668</v>
      </c>
      <c r="H12">
        <f t="shared" si="2"/>
        <v>22804</v>
      </c>
      <c r="J12">
        <f t="shared" si="2"/>
        <v>15552.761904761906</v>
      </c>
      <c r="R12" t="s">
        <v>137</v>
      </c>
      <c r="S12">
        <v>25</v>
      </c>
      <c r="T12">
        <v>530</v>
      </c>
      <c r="U12" s="9">
        <f t="shared" si="4"/>
        <v>0.76319999999999999</v>
      </c>
      <c r="V12" s="9">
        <f t="shared" si="5"/>
        <v>0.95399999999999996</v>
      </c>
      <c r="W12">
        <f t="shared" si="6"/>
        <v>0.85295121119071993</v>
      </c>
      <c r="AD12" s="12" t="s">
        <v>162</v>
      </c>
      <c r="AE12" s="13">
        <v>2100</v>
      </c>
      <c r="AF12" s="13">
        <v>4.2</v>
      </c>
    </row>
    <row r="13" spans="1:35">
      <c r="A13">
        <v>5</v>
      </c>
      <c r="B13">
        <f t="shared" si="1"/>
        <v>13200</v>
      </c>
      <c r="C13">
        <f t="shared" si="3"/>
        <v>28053.333333333332</v>
      </c>
      <c r="D13">
        <f t="shared" si="3"/>
        <v>23773.333333333332</v>
      </c>
      <c r="E13">
        <f t="shared" si="2"/>
        <v>23063.157894736843</v>
      </c>
      <c r="F13">
        <f t="shared" si="2"/>
        <v>14573.333333333332</v>
      </c>
      <c r="G13">
        <f t="shared" si="2"/>
        <v>25329.166666666668</v>
      </c>
      <c r="H13">
        <f t="shared" si="2"/>
        <v>27380</v>
      </c>
      <c r="J13">
        <f t="shared" si="2"/>
        <v>18607.61904761905</v>
      </c>
      <c r="R13" s="4" t="s">
        <v>138</v>
      </c>
      <c r="S13">
        <v>24.89</v>
      </c>
      <c r="T13">
        <v>680</v>
      </c>
      <c r="U13" s="10">
        <f t="shared" si="4"/>
        <v>0.98352752109280839</v>
      </c>
      <c r="V13" s="10">
        <f t="shared" si="5"/>
        <v>1.2294094013660104</v>
      </c>
      <c r="W13">
        <f t="shared" si="6"/>
        <v>0.84919822586148075</v>
      </c>
      <c r="AD13" s="12" t="s">
        <v>163</v>
      </c>
      <c r="AE13" s="13">
        <v>1600</v>
      </c>
      <c r="AF13" s="13">
        <v>4.4000000000000004</v>
      </c>
      <c r="AG13">
        <v>990</v>
      </c>
      <c r="AH13">
        <f t="shared" si="7"/>
        <v>0.61875000000000002</v>
      </c>
      <c r="AI13">
        <f t="shared" si="8"/>
        <v>0.7734375</v>
      </c>
    </row>
    <row r="14" spans="1:35">
      <c r="A14">
        <v>6</v>
      </c>
      <c r="B14">
        <f t="shared" si="1"/>
        <v>15840</v>
      </c>
      <c r="C14">
        <f t="shared" si="3"/>
        <v>33597.333333333336</v>
      </c>
      <c r="D14">
        <f t="shared" si="3"/>
        <v>28261.333333333332</v>
      </c>
      <c r="E14">
        <f t="shared" si="2"/>
        <v>26675.78947368421</v>
      </c>
      <c r="F14">
        <f t="shared" si="2"/>
        <v>16421.333333333332</v>
      </c>
      <c r="G14">
        <f t="shared" si="2"/>
        <v>27061.666666666668</v>
      </c>
      <c r="H14">
        <f t="shared" si="2"/>
        <v>31956</v>
      </c>
      <c r="J14">
        <f t="shared" si="2"/>
        <v>21662.476190476191</v>
      </c>
      <c r="R14" t="s">
        <v>139</v>
      </c>
      <c r="S14">
        <v>19</v>
      </c>
      <c r="T14">
        <v>450</v>
      </c>
      <c r="U14" s="9">
        <f t="shared" si="4"/>
        <v>0.85263157894736841</v>
      </c>
      <c r="V14" s="9">
        <f t="shared" si="5"/>
        <v>1.0657894736842104</v>
      </c>
      <c r="W14">
        <f t="shared" si="6"/>
        <v>0.64824292050494714</v>
      </c>
      <c r="AD14" s="12" t="s">
        <v>164</v>
      </c>
      <c r="AE14" s="13">
        <v>1700</v>
      </c>
      <c r="AF14" s="13">
        <v>4.4000000000000004</v>
      </c>
      <c r="AG14">
        <v>990</v>
      </c>
      <c r="AH14">
        <f t="shared" si="7"/>
        <v>0.58235294117647063</v>
      </c>
      <c r="AI14">
        <f t="shared" si="8"/>
        <v>0.7279411764705882</v>
      </c>
    </row>
    <row r="15" spans="1:35">
      <c r="A15">
        <v>7</v>
      </c>
      <c r="B15">
        <f t="shared" si="1"/>
        <v>18480</v>
      </c>
      <c r="C15">
        <f t="shared" si="3"/>
        <v>39141.333333333336</v>
      </c>
      <c r="D15">
        <f t="shared" si="3"/>
        <v>32749.333333333332</v>
      </c>
      <c r="E15">
        <f t="shared" si="2"/>
        <v>30288.42105263158</v>
      </c>
      <c r="F15">
        <f t="shared" si="2"/>
        <v>18269.333333333332</v>
      </c>
      <c r="G15">
        <f t="shared" si="2"/>
        <v>28794.166666666668</v>
      </c>
      <c r="H15">
        <f t="shared" si="2"/>
        <v>36532</v>
      </c>
      <c r="J15">
        <f t="shared" si="2"/>
        <v>24717.333333333336</v>
      </c>
      <c r="R15" t="s">
        <v>140</v>
      </c>
      <c r="S15">
        <v>19.8</v>
      </c>
      <c r="T15">
        <v>444</v>
      </c>
      <c r="U15" s="9">
        <f t="shared" si="4"/>
        <v>0.80727272727272725</v>
      </c>
      <c r="V15" s="9">
        <f t="shared" si="5"/>
        <v>1.009090909090909</v>
      </c>
      <c r="W15">
        <f t="shared" si="6"/>
        <v>0.67553735926305025</v>
      </c>
      <c r="AD15" s="12" t="s">
        <v>165</v>
      </c>
      <c r="AE15" s="13">
        <v>1700</v>
      </c>
      <c r="AF15" s="13">
        <v>4.4000000000000004</v>
      </c>
    </row>
    <row r="16" spans="1:35">
      <c r="A16">
        <v>8</v>
      </c>
      <c r="B16">
        <f t="shared" si="1"/>
        <v>21120</v>
      </c>
      <c r="C16">
        <f t="shared" si="3"/>
        <v>44685.333333333336</v>
      </c>
      <c r="D16">
        <f t="shared" si="3"/>
        <v>37237.333333333336</v>
      </c>
      <c r="E16">
        <f t="shared" si="2"/>
        <v>33901.052631578947</v>
      </c>
      <c r="F16">
        <f t="shared" si="2"/>
        <v>20117.333333333332</v>
      </c>
      <c r="G16">
        <f t="shared" si="2"/>
        <v>30526.666666666668</v>
      </c>
      <c r="H16">
        <f t="shared" si="2"/>
        <v>41108</v>
      </c>
      <c r="J16">
        <f t="shared" si="2"/>
        <v>27772.190476190477</v>
      </c>
      <c r="R16" t="s">
        <v>142</v>
      </c>
      <c r="S16">
        <v>29.31</v>
      </c>
      <c r="W16" t="s">
        <v>172</v>
      </c>
      <c r="AD16" s="12" t="s">
        <v>166</v>
      </c>
      <c r="AE16" s="13">
        <v>1400</v>
      </c>
      <c r="AF16" s="13">
        <v>4.2</v>
      </c>
    </row>
    <row r="17" spans="1:35">
      <c r="A17">
        <v>9</v>
      </c>
      <c r="B17">
        <f t="shared" si="1"/>
        <v>23760</v>
      </c>
      <c r="C17">
        <f t="shared" si="3"/>
        <v>50229.333333333336</v>
      </c>
      <c r="D17">
        <f t="shared" si="3"/>
        <v>41725.333333333336</v>
      </c>
      <c r="E17">
        <f t="shared" si="2"/>
        <v>37513.68421052632</v>
      </c>
      <c r="F17">
        <f t="shared" si="2"/>
        <v>21965.333333333332</v>
      </c>
      <c r="G17">
        <f t="shared" si="2"/>
        <v>32259.166666666668</v>
      </c>
      <c r="H17">
        <f t="shared" si="2"/>
        <v>45684</v>
      </c>
      <c r="J17">
        <f t="shared" si="2"/>
        <v>30827.047619047622</v>
      </c>
      <c r="R17" t="s">
        <v>148</v>
      </c>
      <c r="S17">
        <v>50</v>
      </c>
      <c r="V17" t="s">
        <v>155</v>
      </c>
      <c r="W17">
        <f>AI8</f>
        <v>0.74342105263157887</v>
      </c>
      <c r="AD17" s="12" t="s">
        <v>167</v>
      </c>
      <c r="AE17" s="13">
        <v>2100</v>
      </c>
      <c r="AF17" s="13">
        <v>4.2</v>
      </c>
      <c r="AG17">
        <v>1230</v>
      </c>
      <c r="AH17">
        <f t="shared" si="7"/>
        <v>0.58571428571428574</v>
      </c>
      <c r="AI17">
        <f t="shared" si="8"/>
        <v>0.7321428571428571</v>
      </c>
    </row>
    <row r="18" spans="1:35">
      <c r="A18">
        <v>10</v>
      </c>
      <c r="B18">
        <f t="shared" si="1"/>
        <v>26400</v>
      </c>
      <c r="C18">
        <f t="shared" si="3"/>
        <v>55773.333333333336</v>
      </c>
      <c r="D18">
        <f t="shared" si="3"/>
        <v>46213.333333333336</v>
      </c>
      <c r="E18">
        <f t="shared" si="2"/>
        <v>41126.315789473687</v>
      </c>
      <c r="F18">
        <f t="shared" si="2"/>
        <v>23813.333333333332</v>
      </c>
      <c r="G18">
        <f t="shared" si="2"/>
        <v>33991.666666666672</v>
      </c>
      <c r="H18">
        <f t="shared" si="2"/>
        <v>50260</v>
      </c>
      <c r="J18">
        <f t="shared" si="2"/>
        <v>33881.904761904763</v>
      </c>
      <c r="R18" t="s">
        <v>145</v>
      </c>
      <c r="S18">
        <v>119.55</v>
      </c>
      <c r="V18" t="s">
        <v>154</v>
      </c>
      <c r="W18">
        <f t="shared" ref="W18:W26" si="9">AI9</f>
        <v>0.74342105263157887</v>
      </c>
      <c r="AD18" s="12" t="s">
        <v>168</v>
      </c>
      <c r="AE18" s="13">
        <v>2200</v>
      </c>
      <c r="AF18" s="13">
        <v>4.2</v>
      </c>
    </row>
    <row r="19" spans="1:35">
      <c r="A19">
        <v>11</v>
      </c>
      <c r="B19">
        <f t="shared" si="1"/>
        <v>29040</v>
      </c>
      <c r="C19">
        <f t="shared" si="3"/>
        <v>61317.333333333336</v>
      </c>
      <c r="D19">
        <f t="shared" si="3"/>
        <v>50701.333333333336</v>
      </c>
      <c r="E19">
        <f t="shared" si="2"/>
        <v>44738.947368421053</v>
      </c>
      <c r="F19">
        <f t="shared" si="2"/>
        <v>25661.333333333332</v>
      </c>
      <c r="G19">
        <f t="shared" si="2"/>
        <v>35724.166666666672</v>
      </c>
      <c r="H19">
        <f t="shared" si="2"/>
        <v>54836</v>
      </c>
      <c r="J19">
        <f t="shared" si="2"/>
        <v>36936.761904761908</v>
      </c>
      <c r="R19" t="s">
        <v>144</v>
      </c>
      <c r="S19">
        <v>33.805999999999997</v>
      </c>
      <c r="W19">
        <f t="shared" si="9"/>
        <v>0.7321428571428571</v>
      </c>
      <c r="AD19" s="12" t="s">
        <v>169</v>
      </c>
      <c r="AE19" s="13">
        <v>1500</v>
      </c>
      <c r="AF19" s="13">
        <v>4.4000000000000004</v>
      </c>
    </row>
    <row r="20" spans="1:35">
      <c r="A20">
        <v>12</v>
      </c>
      <c r="B20">
        <f t="shared" si="1"/>
        <v>31680</v>
      </c>
      <c r="C20">
        <f t="shared" si="3"/>
        <v>66861.333333333328</v>
      </c>
      <c r="D20">
        <f t="shared" si="3"/>
        <v>55189.333333333336</v>
      </c>
      <c r="E20">
        <f t="shared" si="2"/>
        <v>48351.57894736842</v>
      </c>
      <c r="F20">
        <f t="shared" si="2"/>
        <v>27509.333333333332</v>
      </c>
      <c r="G20">
        <f t="shared" si="2"/>
        <v>37456.666666666672</v>
      </c>
      <c r="H20">
        <f t="shared" si="2"/>
        <v>59412</v>
      </c>
      <c r="J20">
        <f t="shared" si="2"/>
        <v>39991.619047619053</v>
      </c>
      <c r="R20" t="s">
        <v>146</v>
      </c>
      <c r="S20">
        <f>S19/3.6</f>
        <v>9.3905555555555544</v>
      </c>
      <c r="T20" t="s">
        <v>147</v>
      </c>
    </row>
    <row r="21" spans="1:35">
      <c r="A21">
        <v>13</v>
      </c>
      <c r="B21">
        <f t="shared" si="1"/>
        <v>34320</v>
      </c>
      <c r="C21">
        <f t="shared" si="3"/>
        <v>72405.333333333328</v>
      </c>
      <c r="D21">
        <f t="shared" si="3"/>
        <v>59677.333333333336</v>
      </c>
      <c r="E21">
        <f t="shared" si="2"/>
        <v>51964.210526315794</v>
      </c>
      <c r="F21">
        <f t="shared" si="2"/>
        <v>29357.333333333332</v>
      </c>
      <c r="G21">
        <f t="shared" si="2"/>
        <v>39189.166666666672</v>
      </c>
      <c r="H21">
        <f t="shared" si="2"/>
        <v>63988</v>
      </c>
      <c r="J21">
        <f t="shared" si="2"/>
        <v>43046.476190476198</v>
      </c>
    </row>
    <row r="22" spans="1:35">
      <c r="A22">
        <v>14</v>
      </c>
      <c r="B22">
        <f t="shared" si="1"/>
        <v>36960</v>
      </c>
      <c r="C22">
        <f t="shared" si="3"/>
        <v>77949.333333333328</v>
      </c>
      <c r="D22">
        <f t="shared" si="3"/>
        <v>64165.333333333336</v>
      </c>
      <c r="E22">
        <f t="shared" si="2"/>
        <v>55576.84210526316</v>
      </c>
      <c r="F22">
        <f t="shared" si="2"/>
        <v>31205.333333333332</v>
      </c>
      <c r="G22">
        <f t="shared" si="2"/>
        <v>40921.666666666672</v>
      </c>
      <c r="H22">
        <f t="shared" si="2"/>
        <v>68564</v>
      </c>
      <c r="J22">
        <f t="shared" si="2"/>
        <v>46101.333333333343</v>
      </c>
      <c r="W22">
        <f t="shared" si="9"/>
        <v>0.7734375</v>
      </c>
    </row>
    <row r="23" spans="1:35">
      <c r="A23">
        <v>15</v>
      </c>
      <c r="B23">
        <f t="shared" si="1"/>
        <v>39600</v>
      </c>
      <c r="C23">
        <f t="shared" si="3"/>
        <v>83493.333333333328</v>
      </c>
      <c r="D23">
        <f t="shared" si="3"/>
        <v>68653.333333333328</v>
      </c>
      <c r="E23">
        <f t="shared" si="2"/>
        <v>59189.473684210527</v>
      </c>
      <c r="F23">
        <f t="shared" si="2"/>
        <v>33053.333333333336</v>
      </c>
      <c r="G23">
        <f t="shared" si="2"/>
        <v>42654.166666666672</v>
      </c>
      <c r="H23">
        <f t="shared" si="2"/>
        <v>73140</v>
      </c>
      <c r="J23">
        <f t="shared" si="2"/>
        <v>49156.190476190488</v>
      </c>
      <c r="S23">
        <f>33.8/50</f>
        <v>0.67599999999999993</v>
      </c>
      <c r="T23" t="s">
        <v>152</v>
      </c>
      <c r="W23">
        <f t="shared" si="9"/>
        <v>0.7279411764705882</v>
      </c>
    </row>
    <row r="24" spans="1:35">
      <c r="A24">
        <v>16</v>
      </c>
      <c r="B24">
        <f t="shared" ref="B24:B28" si="10">A24*24*110</f>
        <v>42240</v>
      </c>
      <c r="C24">
        <f t="shared" si="3"/>
        <v>89037.333333333328</v>
      </c>
      <c r="D24">
        <f t="shared" si="3"/>
        <v>73141.333333333328</v>
      </c>
      <c r="E24">
        <f t="shared" si="2"/>
        <v>62802.1052631579</v>
      </c>
      <c r="F24">
        <f t="shared" si="2"/>
        <v>34901.333333333336</v>
      </c>
      <c r="G24">
        <f t="shared" si="2"/>
        <v>44386.666666666672</v>
      </c>
      <c r="H24">
        <f t="shared" si="2"/>
        <v>77716</v>
      </c>
      <c r="J24">
        <f t="shared" si="2"/>
        <v>52211.047619047626</v>
      </c>
    </row>
    <row r="25" spans="1:35">
      <c r="A25">
        <v>17</v>
      </c>
      <c r="B25">
        <f t="shared" si="10"/>
        <v>44880</v>
      </c>
      <c r="C25">
        <f t="shared" ref="C25:J28" si="11">$B25*C$5/C$6+C$3+C$4</f>
        <v>94581.333333333328</v>
      </c>
      <c r="D25">
        <f t="shared" si="11"/>
        <v>77629.333333333328</v>
      </c>
      <c r="E25">
        <f t="shared" si="11"/>
        <v>66414.736842105267</v>
      </c>
      <c r="F25">
        <f t="shared" si="11"/>
        <v>36749.333333333336</v>
      </c>
      <c r="G25">
        <f t="shared" si="11"/>
        <v>46119.166666666672</v>
      </c>
      <c r="H25">
        <f t="shared" si="11"/>
        <v>82292</v>
      </c>
      <c r="J25">
        <f t="shared" si="11"/>
        <v>55265.904761904771</v>
      </c>
      <c r="L25" s="2" t="s">
        <v>263</v>
      </c>
      <c r="S25">
        <f>12+4</f>
        <v>16</v>
      </c>
      <c r="T25" t="s">
        <v>149</v>
      </c>
    </row>
    <row r="26" spans="1:35">
      <c r="A26">
        <v>18</v>
      </c>
      <c r="B26">
        <f t="shared" si="10"/>
        <v>47520</v>
      </c>
      <c r="C26">
        <f t="shared" si="11"/>
        <v>100125.33333333333</v>
      </c>
      <c r="D26">
        <f t="shared" si="11"/>
        <v>82117.333333333328</v>
      </c>
      <c r="E26">
        <f t="shared" si="11"/>
        <v>70027.368421052641</v>
      </c>
      <c r="F26">
        <f t="shared" si="11"/>
        <v>38597.333333333336</v>
      </c>
      <c r="G26">
        <f t="shared" si="11"/>
        <v>47851.666666666672</v>
      </c>
      <c r="H26">
        <f t="shared" si="11"/>
        <v>86868</v>
      </c>
      <c r="J26">
        <f t="shared" si="11"/>
        <v>58320.761904761916</v>
      </c>
      <c r="S26">
        <f>28*4/5+32*1/5</f>
        <v>28.799999999999997</v>
      </c>
      <c r="T26" t="s">
        <v>150</v>
      </c>
      <c r="W26">
        <f t="shared" si="9"/>
        <v>0.7321428571428571</v>
      </c>
    </row>
    <row r="27" spans="1:35">
      <c r="A27">
        <v>19</v>
      </c>
      <c r="B27">
        <f t="shared" si="10"/>
        <v>50160</v>
      </c>
      <c r="C27">
        <f t="shared" si="11"/>
        <v>105669.33333333333</v>
      </c>
      <c r="D27">
        <f t="shared" si="11"/>
        <v>86605.333333333328</v>
      </c>
      <c r="E27">
        <f t="shared" si="11"/>
        <v>73640</v>
      </c>
      <c r="F27">
        <f t="shared" si="11"/>
        <v>40445.333333333336</v>
      </c>
      <c r="G27">
        <f t="shared" si="11"/>
        <v>49584.166666666672</v>
      </c>
      <c r="H27">
        <f t="shared" si="11"/>
        <v>91444</v>
      </c>
      <c r="J27">
        <f t="shared" si="11"/>
        <v>61375.61904761906</v>
      </c>
    </row>
    <row r="28" spans="1:35">
      <c r="A28">
        <v>20</v>
      </c>
      <c r="B28">
        <f t="shared" si="10"/>
        <v>52800</v>
      </c>
      <c r="C28">
        <f t="shared" si="11"/>
        <v>111213.33333333333</v>
      </c>
      <c r="D28">
        <f t="shared" si="11"/>
        <v>91093.333333333328</v>
      </c>
      <c r="E28">
        <f t="shared" si="11"/>
        <v>77252.631578947374</v>
      </c>
      <c r="F28">
        <f t="shared" si="11"/>
        <v>42293.333333333336</v>
      </c>
      <c r="G28">
        <f t="shared" si="11"/>
        <v>51316.666666666672</v>
      </c>
      <c r="H28">
        <f t="shared" si="11"/>
        <v>96020</v>
      </c>
      <c r="J28">
        <f t="shared" si="11"/>
        <v>64430.476190476198</v>
      </c>
      <c r="N28">
        <v>1500</v>
      </c>
      <c r="O28">
        <v>12</v>
      </c>
      <c r="P28">
        <f>N28*O28</f>
        <v>18000</v>
      </c>
      <c r="S28">
        <f>S25/S26</f>
        <v>0.55555555555555558</v>
      </c>
      <c r="T28" t="s">
        <v>151</v>
      </c>
    </row>
    <row r="29" spans="1:35">
      <c r="S29">
        <f>S28*1.2</f>
        <v>0.66666666666666663</v>
      </c>
      <c r="T29" t="s">
        <v>153</v>
      </c>
    </row>
    <row r="31" spans="1:35">
      <c r="E31" t="s">
        <v>269</v>
      </c>
    </row>
    <row r="32" spans="1:35">
      <c r="E32">
        <f>11712/10000</f>
        <v>1.1712</v>
      </c>
    </row>
    <row r="33" spans="5:5">
      <c r="E33">
        <f>41340/40000</f>
        <v>1.0335000000000001</v>
      </c>
    </row>
    <row r="35" spans="5:5">
      <c r="E35">
        <f>E32/0.95</f>
        <v>1.232842105263158</v>
      </c>
    </row>
    <row r="36" spans="5:5">
      <c r="E36">
        <f>E33/0.95</f>
        <v>1.0878947368421055</v>
      </c>
    </row>
    <row r="38" spans="5:5">
      <c r="E38">
        <v>2.1</v>
      </c>
    </row>
    <row r="39" spans="5:5">
      <c r="E39">
        <f>E38/E35</f>
        <v>1.7033811475409837</v>
      </c>
    </row>
  </sheetData>
  <hyperlinks>
    <hyperlink ref="Q2" r:id="rId1"/>
    <hyperlink ref="R3" r:id="rId2"/>
    <hyperlink ref="L25" r:id="rId3"/>
  </hyperlinks>
  <pageMargins left="0.7" right="0.7" top="0.78740157499999996" bottom="0.78740157499999996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opLeftCell="A33" workbookViewId="0">
      <selection activeCell="G42" sqref="G42"/>
    </sheetView>
  </sheetViews>
  <sheetFormatPr defaultRowHeight="15" customHeight="1"/>
  <cols>
    <col min="1" max="1" width="21.140625" customWidth="1"/>
    <col min="2" max="2" width="23.42578125" customWidth="1"/>
    <col min="3" max="3" width="16.85546875" customWidth="1"/>
    <col min="4" max="4" width="13.85546875" customWidth="1"/>
    <col min="5" max="5" width="14.140625" customWidth="1"/>
    <col min="6" max="6" width="13.28515625" customWidth="1"/>
    <col min="7" max="7" width="12" customWidth="1"/>
    <col min="8" max="8" width="13.5703125" customWidth="1"/>
    <col min="9" max="9" width="13.42578125" customWidth="1"/>
    <col min="10" max="15" width="6" customWidth="1"/>
  </cols>
  <sheetData>
    <row r="1" spans="1:15" ht="15" customHeight="1">
      <c r="A1" s="2" t="s">
        <v>199</v>
      </c>
    </row>
    <row r="4" spans="1:15" ht="15" customHeight="1">
      <c r="A4" s="21" t="s">
        <v>198</v>
      </c>
      <c r="B4" s="21" t="s">
        <v>197</v>
      </c>
      <c r="C4" s="21" t="s">
        <v>196</v>
      </c>
      <c r="D4" s="24" t="s">
        <v>195</v>
      </c>
      <c r="E4" s="24"/>
      <c r="F4" s="24"/>
      <c r="G4" s="24"/>
      <c r="H4" s="24"/>
      <c r="I4" s="24"/>
    </row>
    <row r="5" spans="1:15" ht="15" customHeight="1">
      <c r="A5" s="21" t="s">
        <v>194</v>
      </c>
      <c r="B5" s="21" t="s">
        <v>193</v>
      </c>
      <c r="C5" s="21" t="s">
        <v>187</v>
      </c>
      <c r="D5" s="24" t="s">
        <v>192</v>
      </c>
      <c r="E5" s="24"/>
      <c r="F5" s="24" t="s">
        <v>191</v>
      </c>
      <c r="G5" s="24"/>
      <c r="H5" s="24" t="s">
        <v>190</v>
      </c>
      <c r="I5" s="24"/>
    </row>
    <row r="6" spans="1:15" ht="15" customHeight="1">
      <c r="A6" s="21"/>
      <c r="B6" s="21"/>
      <c r="C6" s="21"/>
      <c r="D6" s="21" t="s">
        <v>189</v>
      </c>
      <c r="E6" s="21" t="s">
        <v>188</v>
      </c>
      <c r="F6" s="21" t="s">
        <v>189</v>
      </c>
      <c r="G6" s="21" t="s">
        <v>188</v>
      </c>
      <c r="H6" s="21" t="s">
        <v>189</v>
      </c>
      <c r="I6" s="21" t="s">
        <v>188</v>
      </c>
      <c r="M6">
        <f>SUM(K8:O13)/18</f>
        <v>2418.0897949770015</v>
      </c>
    </row>
    <row r="7" spans="1:15" ht="15" customHeight="1">
      <c r="A7" s="21"/>
      <c r="B7" s="21"/>
      <c r="C7" s="21"/>
      <c r="D7" s="20" t="s">
        <v>187</v>
      </c>
      <c r="E7" s="20" t="s">
        <v>186</v>
      </c>
      <c r="F7" s="20" t="s">
        <v>187</v>
      </c>
      <c r="G7" s="20" t="s">
        <v>186</v>
      </c>
      <c r="H7" s="20" t="s">
        <v>187</v>
      </c>
      <c r="I7" s="20" t="s">
        <v>186</v>
      </c>
      <c r="K7" s="22" t="s">
        <v>206</v>
      </c>
    </row>
    <row r="8" spans="1:15" ht="15" customHeight="1">
      <c r="A8" s="19" t="s">
        <v>185</v>
      </c>
      <c r="B8" s="18" t="s">
        <v>184</v>
      </c>
      <c r="C8" s="17">
        <v>115</v>
      </c>
      <c r="D8" s="17">
        <v>74</v>
      </c>
      <c r="E8" s="17">
        <v>60</v>
      </c>
      <c r="F8" s="17">
        <v>62</v>
      </c>
      <c r="G8" s="17">
        <v>79</v>
      </c>
      <c r="H8" s="17">
        <v>50</v>
      </c>
      <c r="I8" s="17">
        <v>97</v>
      </c>
      <c r="K8">
        <f>($C8-D8)/E8*3600</f>
        <v>2460</v>
      </c>
      <c r="M8">
        <f>($C8-F8)/G8*3600</f>
        <v>2415.1898734177216</v>
      </c>
      <c r="O8">
        <f>($C8-H8)/I8*3600</f>
        <v>2412.3711340206182</v>
      </c>
    </row>
    <row r="9" spans="1:15" ht="15" customHeight="1">
      <c r="A9" s="18" t="s">
        <v>183</v>
      </c>
      <c r="B9" s="18" t="s">
        <v>182</v>
      </c>
      <c r="C9" s="17">
        <v>140</v>
      </c>
      <c r="D9" s="17">
        <v>74</v>
      </c>
      <c r="E9" s="17">
        <v>98</v>
      </c>
      <c r="F9" s="17">
        <v>62</v>
      </c>
      <c r="G9" s="17">
        <v>116</v>
      </c>
      <c r="H9" s="17">
        <v>50</v>
      </c>
      <c r="I9" s="17">
        <v>135</v>
      </c>
      <c r="K9">
        <f t="shared" ref="K9:K13" si="0">($C9-D9)/E9*3600</f>
        <v>2424.4897959183672</v>
      </c>
      <c r="M9">
        <f t="shared" ref="M9:M13" si="1">($C9-F9)/G9*3600</f>
        <v>2420.6896551724139</v>
      </c>
      <c r="O9">
        <f t="shared" ref="O9:O13" si="2">($C9-H9)/I9*3600</f>
        <v>2400</v>
      </c>
    </row>
    <row r="10" spans="1:15" ht="15" customHeight="1">
      <c r="A10" s="18" t="s">
        <v>181</v>
      </c>
      <c r="B10" s="18" t="s">
        <v>180</v>
      </c>
      <c r="C10" s="17">
        <v>150</v>
      </c>
      <c r="D10" s="17">
        <v>72</v>
      </c>
      <c r="E10" s="17">
        <v>116</v>
      </c>
      <c r="F10" s="17">
        <v>60</v>
      </c>
      <c r="G10" s="17">
        <v>134</v>
      </c>
      <c r="H10" s="17">
        <v>48</v>
      </c>
      <c r="I10" s="17">
        <v>152</v>
      </c>
      <c r="K10">
        <f t="shared" si="0"/>
        <v>2420.6896551724139</v>
      </c>
      <c r="M10">
        <f t="shared" si="1"/>
        <v>2417.9104477611941</v>
      </c>
      <c r="O10">
        <f t="shared" si="2"/>
        <v>2415.7894736842104</v>
      </c>
    </row>
    <row r="11" spans="1:15" ht="15" customHeight="1">
      <c r="A11" s="18" t="s">
        <v>179</v>
      </c>
      <c r="B11" s="18" t="s">
        <v>178</v>
      </c>
      <c r="C11" s="17">
        <v>160</v>
      </c>
      <c r="D11" s="17">
        <v>77</v>
      </c>
      <c r="E11" s="17">
        <v>124</v>
      </c>
      <c r="F11" s="17">
        <v>64</v>
      </c>
      <c r="G11" s="17">
        <v>143</v>
      </c>
      <c r="H11" s="17">
        <v>51</v>
      </c>
      <c r="I11" s="17">
        <v>162</v>
      </c>
      <c r="K11">
        <f t="shared" si="0"/>
        <v>2409.6774193548385</v>
      </c>
      <c r="M11">
        <f t="shared" si="1"/>
        <v>2416.7832167832171</v>
      </c>
      <c r="O11">
        <f t="shared" si="2"/>
        <v>2422.2222222222222</v>
      </c>
    </row>
    <row r="12" spans="1:15" ht="15" customHeight="1">
      <c r="A12" s="18" t="s">
        <v>177</v>
      </c>
      <c r="B12" s="18" t="s">
        <v>176</v>
      </c>
      <c r="C12" s="17">
        <v>230</v>
      </c>
      <c r="D12" s="17">
        <v>79</v>
      </c>
      <c r="E12" s="17">
        <v>225</v>
      </c>
      <c r="F12" s="17">
        <v>66</v>
      </c>
      <c r="G12" s="17">
        <v>244</v>
      </c>
      <c r="H12" s="17">
        <v>53</v>
      </c>
      <c r="I12" s="17">
        <v>264</v>
      </c>
      <c r="K12">
        <f t="shared" si="0"/>
        <v>2416</v>
      </c>
      <c r="M12">
        <f t="shared" si="1"/>
        <v>2419.6721311475408</v>
      </c>
      <c r="O12">
        <f t="shared" si="2"/>
        <v>2413.6363636363635</v>
      </c>
    </row>
    <row r="13" spans="1:15" ht="15" customHeight="1">
      <c r="A13" s="18" t="s">
        <v>175</v>
      </c>
      <c r="B13" s="18"/>
      <c r="C13" s="17">
        <v>260</v>
      </c>
      <c r="D13" s="17">
        <v>92</v>
      </c>
      <c r="E13" s="17">
        <v>250</v>
      </c>
      <c r="F13" s="17">
        <v>77</v>
      </c>
      <c r="G13" s="17">
        <v>273</v>
      </c>
      <c r="H13" s="17">
        <v>62</v>
      </c>
      <c r="I13" s="17">
        <v>296</v>
      </c>
      <c r="K13">
        <f t="shared" si="0"/>
        <v>2419.2000000000003</v>
      </c>
      <c r="M13">
        <f t="shared" si="1"/>
        <v>2413.1868131868132</v>
      </c>
      <c r="O13">
        <f t="shared" si="2"/>
        <v>2408.1081081081084</v>
      </c>
    </row>
    <row r="14" spans="1:15" ht="15" customHeight="1">
      <c r="E14" t="s">
        <v>231</v>
      </c>
    </row>
    <row r="15" spans="1:15" ht="15" customHeight="1">
      <c r="D15" t="s">
        <v>218</v>
      </c>
      <c r="E15" s="17">
        <v>30</v>
      </c>
    </row>
    <row r="16" spans="1:15" ht="15" customHeight="1">
      <c r="A16" s="2" t="s">
        <v>200</v>
      </c>
      <c r="D16" t="s">
        <v>219</v>
      </c>
      <c r="E16" t="s">
        <v>220</v>
      </c>
    </row>
    <row r="17" spans="1:11" ht="15" customHeight="1">
      <c r="D17" t="s">
        <v>221</v>
      </c>
      <c r="E17" t="s">
        <v>222</v>
      </c>
    </row>
    <row r="18" spans="1:11" ht="15" customHeight="1">
      <c r="D18" t="s">
        <v>223</v>
      </c>
      <c r="E18" t="s">
        <v>224</v>
      </c>
    </row>
    <row r="19" spans="1:11" ht="15" customHeight="1">
      <c r="A19" t="s">
        <v>201</v>
      </c>
      <c r="B19">
        <f>2*E8*8</f>
        <v>960</v>
      </c>
      <c r="C19" t="s">
        <v>202</v>
      </c>
      <c r="D19" t="s">
        <v>225</v>
      </c>
      <c r="E19">
        <v>700</v>
      </c>
    </row>
    <row r="20" spans="1:11" ht="15" customHeight="1">
      <c r="D20" t="s">
        <v>226</v>
      </c>
      <c r="E20">
        <v>2600</v>
      </c>
    </row>
    <row r="21" spans="1:11" ht="15" customHeight="1">
      <c r="A21" t="s">
        <v>203</v>
      </c>
      <c r="B21">
        <f>4.85*75</f>
        <v>363.75</v>
      </c>
      <c r="C21" t="s">
        <v>204</v>
      </c>
      <c r="D21" t="s">
        <v>227</v>
      </c>
      <c r="E21" t="s">
        <v>228</v>
      </c>
    </row>
    <row r="22" spans="1:11" ht="15" customHeight="1">
      <c r="A22" t="s">
        <v>205</v>
      </c>
      <c r="B22">
        <f>17.3*75</f>
        <v>1297.5</v>
      </c>
      <c r="D22" t="s">
        <v>229</v>
      </c>
      <c r="E22" t="s">
        <v>230</v>
      </c>
    </row>
    <row r="23" spans="1:11" ht="15" customHeight="1">
      <c r="B23">
        <f>B22-B21</f>
        <v>933.75</v>
      </c>
    </row>
    <row r="25" spans="1:11" ht="15" customHeight="1">
      <c r="A25" t="s">
        <v>211</v>
      </c>
      <c r="I25">
        <v>2257</v>
      </c>
      <c r="J25" t="s">
        <v>208</v>
      </c>
      <c r="K25" s="2" t="s">
        <v>207</v>
      </c>
    </row>
    <row r="26" spans="1:11" ht="15" customHeight="1">
      <c r="I26">
        <v>4.2</v>
      </c>
      <c r="J26" t="s">
        <v>209</v>
      </c>
    </row>
    <row r="27" spans="1:11" ht="15" customHeight="1">
      <c r="I27">
        <v>37</v>
      </c>
      <c r="J27" t="s">
        <v>210</v>
      </c>
    </row>
    <row r="28" spans="1:11" ht="15" customHeight="1">
      <c r="A28" s="2" t="s">
        <v>212</v>
      </c>
      <c r="I28">
        <f>I25+I26*I27</f>
        <v>2412.4</v>
      </c>
    </row>
    <row r="30" spans="1:11" ht="15" customHeight="1">
      <c r="A30">
        <v>330</v>
      </c>
      <c r="B30" t="s">
        <v>213</v>
      </c>
    </row>
    <row r="31" spans="1:11" ht="15" customHeight="1">
      <c r="A31">
        <v>370</v>
      </c>
      <c r="B31" t="s">
        <v>214</v>
      </c>
    </row>
    <row r="32" spans="1:11" ht="15" customHeight="1">
      <c r="A32">
        <v>15000</v>
      </c>
      <c r="H32" t="s">
        <v>235</v>
      </c>
    </row>
    <row r="33" spans="1:10" ht="15" customHeight="1">
      <c r="A33">
        <v>30000</v>
      </c>
      <c r="B33" t="s">
        <v>215</v>
      </c>
      <c r="H33">
        <v>10</v>
      </c>
      <c r="I33" t="s">
        <v>236</v>
      </c>
    </row>
    <row r="34" spans="1:10" ht="15" customHeight="1">
      <c r="A34">
        <v>25020</v>
      </c>
      <c r="B34" t="s">
        <v>216</v>
      </c>
      <c r="H34">
        <v>100</v>
      </c>
      <c r="I34" t="s">
        <v>237</v>
      </c>
    </row>
    <row r="35" spans="1:10" ht="15" customHeight="1">
      <c r="A35">
        <v>60000</v>
      </c>
      <c r="B35" t="s">
        <v>217</v>
      </c>
      <c r="H35">
        <f>0.2*H34</f>
        <v>20</v>
      </c>
      <c r="I35" t="s">
        <v>262</v>
      </c>
    </row>
    <row r="36" spans="1:10" ht="15" customHeight="1">
      <c r="D36">
        <f>A37/0.025</f>
        <v>760</v>
      </c>
      <c r="H36">
        <f>H33*0.001*10.7</f>
        <v>0.107</v>
      </c>
      <c r="I36" t="s">
        <v>256</v>
      </c>
    </row>
    <row r="37" spans="1:10" ht="15" customHeight="1">
      <c r="A37">
        <v>19</v>
      </c>
      <c r="B37" t="s">
        <v>234</v>
      </c>
      <c r="D37">
        <f>A37/0.0019/1000</f>
        <v>10</v>
      </c>
      <c r="E37" t="s">
        <v>242</v>
      </c>
      <c r="H37" t="s">
        <v>250</v>
      </c>
      <c r="J37" t="s">
        <v>249</v>
      </c>
    </row>
    <row r="38" spans="1:10" ht="15" customHeight="1">
      <c r="A38">
        <f>60*16*0.5</f>
        <v>480</v>
      </c>
      <c r="B38" t="s">
        <v>244</v>
      </c>
      <c r="H38" t="s">
        <v>261</v>
      </c>
    </row>
    <row r="39" spans="1:10" ht="15" customHeight="1">
      <c r="A39">
        <f>0.025*A38</f>
        <v>12</v>
      </c>
      <c r="B39" t="s">
        <v>241</v>
      </c>
      <c r="D39">
        <f>A39/10000</f>
        <v>1.1999999999999999E-3</v>
      </c>
    </row>
    <row r="40" spans="1:10" ht="15" customHeight="1">
      <c r="A40">
        <v>60</v>
      </c>
      <c r="B40" t="s">
        <v>243</v>
      </c>
      <c r="C40" t="s">
        <v>245</v>
      </c>
      <c r="F40">
        <f>A40/12</f>
        <v>5</v>
      </c>
      <c r="G40" t="s">
        <v>246</v>
      </c>
    </row>
    <row r="42" spans="1:10" ht="15" customHeight="1">
      <c r="A42">
        <v>20.95</v>
      </c>
      <c r="B42" t="s">
        <v>232</v>
      </c>
    </row>
    <row r="43" spans="1:10" ht="15" customHeight="1">
      <c r="A43">
        <v>11</v>
      </c>
      <c r="B43" t="s">
        <v>233</v>
      </c>
    </row>
    <row r="45" spans="1:10" ht="15" customHeight="1">
      <c r="C45" s="2" t="s">
        <v>238</v>
      </c>
    </row>
    <row r="46" spans="1:10" ht="15" customHeight="1">
      <c r="A46">
        <v>21</v>
      </c>
      <c r="B46" t="s">
        <v>247</v>
      </c>
    </row>
    <row r="47" spans="1:10" ht="15" customHeight="1">
      <c r="A47">
        <v>18.5</v>
      </c>
      <c r="B47" t="s">
        <v>248</v>
      </c>
      <c r="C47" s="2" t="s">
        <v>239</v>
      </c>
    </row>
    <row r="48" spans="1:10" ht="15" customHeight="1">
      <c r="A48">
        <f>A46-A47</f>
        <v>2.5</v>
      </c>
      <c r="B48" t="s">
        <v>240</v>
      </c>
    </row>
    <row r="49" spans="1:2" ht="15" customHeight="1">
      <c r="A49">
        <f>0.5*16*60</f>
        <v>480</v>
      </c>
      <c r="B49" t="s">
        <v>251</v>
      </c>
    </row>
    <row r="50" spans="1:2" ht="15" customHeight="1">
      <c r="A50">
        <f>A49*0.025</f>
        <v>12</v>
      </c>
      <c r="B50" t="s">
        <v>254</v>
      </c>
    </row>
    <row r="51" spans="1:2" ht="15" customHeight="1">
      <c r="A51">
        <v>29.31</v>
      </c>
      <c r="B51" t="s">
        <v>252</v>
      </c>
    </row>
    <row r="52" spans="1:2" ht="15" customHeight="1">
      <c r="A52" t="s">
        <v>253</v>
      </c>
      <c r="B52" t="s">
        <v>255</v>
      </c>
    </row>
    <row r="53" spans="1:2" ht="15" customHeight="1">
      <c r="A53">
        <f>0.012*12/44</f>
        <v>3.2727272727272731E-3</v>
      </c>
      <c r="B53" t="s">
        <v>257</v>
      </c>
    </row>
    <row r="54" spans="1:2" ht="15" customHeight="1">
      <c r="A54">
        <f>A53*A51</f>
        <v>9.5923636363636364E-2</v>
      </c>
      <c r="B54" t="s">
        <v>258</v>
      </c>
    </row>
    <row r="55" spans="1:2" ht="15" customHeight="1">
      <c r="A55">
        <f>A54/3600</f>
        <v>2.6645454545454546E-5</v>
      </c>
      <c r="B55" t="s">
        <v>259</v>
      </c>
    </row>
    <row r="56" spans="1:2" ht="15" customHeight="1">
      <c r="A56">
        <f>A55*1000000</f>
        <v>26.645454545454545</v>
      </c>
      <c r="B56" t="s">
        <v>260</v>
      </c>
    </row>
  </sheetData>
  <mergeCells count="4">
    <mergeCell ref="D4:I4"/>
    <mergeCell ref="D5:E5"/>
    <mergeCell ref="F5:G5"/>
    <mergeCell ref="H5:I5"/>
  </mergeCells>
  <hyperlinks>
    <hyperlink ref="A1" r:id="rId1"/>
    <hyperlink ref="A16" r:id="rId2"/>
    <hyperlink ref="K25" r:id="rId3"/>
    <hyperlink ref="A28" r:id="rId4"/>
    <hyperlink ref="C45" r:id="rId5"/>
    <hyperlink ref="C47" r:id="rId6"/>
  </hyperlinks>
  <pageMargins left="0.7" right="0.7" top="0.78740157499999996" bottom="0.78740157499999996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bungalov</vt:lpstr>
      <vt:lpstr>rocni naklady</vt:lpstr>
      <vt:lpstr>metabolické teplo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2017-01-23T04:00:21Z</dcterms:created>
  <dcterms:modified xsi:type="dcterms:W3CDTF">2018-07-27T11:21:23Z</dcterms:modified>
</cp:coreProperties>
</file>